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riwebs\Nagodbena Vijeća\24.34 - KLANATRANS d.o.o. Klana (St-316-2024)\Tablica prijavljenih tražbina uz prijave tražbina\"/>
    </mc:Choice>
  </mc:AlternateContent>
  <xr:revisionPtr revIDLastSave="0" documentId="13_ncr:1_{643BFC55-7446-4909-86B4-4EE87A92AF82}" xr6:coauthVersionLast="47" xr6:coauthVersionMax="47" xr10:uidLastSave="{00000000-0000-0000-0000-000000000000}"/>
  <bookViews>
    <workbookView xWindow="-108" yWindow="-108" windowWidth="30936" windowHeight="16896" xr2:uid="{00000000-000D-0000-FFFF-FFFF00000000}"/>
  </bookViews>
  <sheets>
    <sheet name="Prijave tražbina" sheetId="1" r:id="rId1"/>
  </sheets>
  <definedNames>
    <definedName name="_xlnm._FilterDatabase" localSheetId="0" hidden="1">'Prijave tražbina'!$A$12:$T$76</definedName>
    <definedName name="_xlnm.Print_Titles" localSheetId="0">'Prijave tražbina'!$12:$12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59" i="1" l="1"/>
  <c r="K59" i="1"/>
  <c r="L27" i="1"/>
  <c r="N21" i="1"/>
  <c r="L21" i="1" s="1"/>
  <c r="L30" i="1"/>
  <c r="N50" i="1"/>
  <c r="N49" i="1"/>
  <c r="N48" i="1"/>
  <c r="N47" i="1"/>
  <c r="N46" i="1"/>
  <c r="N45" i="1"/>
  <c r="N44" i="1"/>
  <c r="L74" i="1"/>
  <c r="L65" i="1"/>
  <c r="L38" i="1"/>
  <c r="N25" i="1"/>
  <c r="L25" i="1" s="1"/>
  <c r="N26" i="1"/>
  <c r="L26" i="1" s="1"/>
  <c r="L28" i="1"/>
  <c r="N35" i="1"/>
  <c r="L35" i="1" s="1"/>
  <c r="L22" i="1"/>
  <c r="N64" i="1"/>
  <c r="L64" i="1" s="1"/>
  <c r="N43" i="1"/>
  <c r="L43" i="1" s="1"/>
  <c r="N39" i="1"/>
  <c r="L39" i="1" s="1"/>
  <c r="L58" i="1"/>
  <c r="L55" i="1"/>
  <c r="L23" i="1"/>
  <c r="L66" i="1"/>
  <c r="N18" i="1"/>
  <c r="L18" i="1" s="1"/>
  <c r="N15" i="1"/>
  <c r="L15" i="1" s="1"/>
  <c r="N14" i="1"/>
  <c r="L14" i="1" s="1"/>
  <c r="N61" i="1"/>
  <c r="L61" i="1" s="1"/>
  <c r="L24" i="1"/>
  <c r="N60" i="1"/>
  <c r="L60" i="1" s="1"/>
  <c r="L13" i="1"/>
  <c r="N20" i="1"/>
  <c r="L20" i="1" s="1"/>
  <c r="N32" i="1"/>
  <c r="L32" i="1" s="1"/>
  <c r="N67" i="1"/>
  <c r="L67" i="1" s="1"/>
  <c r="N71" i="1"/>
  <c r="L71" i="1" s="1"/>
  <c r="L40" i="1"/>
  <c r="L54" i="1"/>
  <c r="L57" i="1"/>
  <c r="L36" i="1"/>
  <c r="N29" i="1"/>
  <c r="L29" i="1" s="1"/>
  <c r="N73" i="1"/>
  <c r="L73" i="1" s="1"/>
  <c r="L70" i="1"/>
  <c r="N75" i="1"/>
  <c r="L75" i="1" s="1"/>
  <c r="L63" i="1"/>
  <c r="L72" i="1"/>
  <c r="L76" i="1"/>
  <c r="N52" i="1"/>
  <c r="L52" i="1" s="1"/>
  <c r="L44" i="1" l="1"/>
  <c r="N37" i="1"/>
  <c r="L37" i="1" s="1"/>
  <c r="N19" i="1"/>
  <c r="L19" i="1" s="1"/>
  <c r="N53" i="1"/>
  <c r="L53" i="1" s="1"/>
  <c r="N41" i="1" l="1"/>
  <c r="L41" i="1" s="1"/>
  <c r="N16" i="1" l="1"/>
  <c r="L16" i="1" s="1"/>
  <c r="N31" i="1" l="1"/>
  <c r="L31" i="1" s="1"/>
  <c r="N17" i="1" l="1"/>
  <c r="L17" i="1" s="1"/>
  <c r="H17" i="1" l="1"/>
  <c r="L34" i="1"/>
  <c r="L33" i="1"/>
</calcChain>
</file>

<file path=xl/sharedStrings.xml><?xml version="1.0" encoding="utf-8"?>
<sst xmlns="http://schemas.openxmlformats.org/spreadsheetml/2006/main" count="531" uniqueCount="302">
  <si>
    <t>NAZIV TABLICE</t>
  </si>
  <si>
    <t>Tablica prijavljenih tražbina u predstečajnom postupku</t>
  </si>
  <si>
    <t>DATUM</t>
  </si>
  <si>
    <t/>
  </si>
  <si>
    <t>NADLEŽNI TRGOVAČKI SUD</t>
  </si>
  <si>
    <t>POSLOVNI BROJ SPISA</t>
  </si>
  <si>
    <t>DUŽNIK</t>
  </si>
  <si>
    <t>IME I PREZIME / NAZIV</t>
  </si>
  <si>
    <t>OIB</t>
  </si>
  <si>
    <t>ADRESA / SJEDIŠTE</t>
  </si>
  <si>
    <t>Redni broj prijavljene tražbine</t>
  </si>
  <si>
    <t>Ime i prezime / Naziv vjerovnika</t>
  </si>
  <si>
    <t>OIB vjerovnika</t>
  </si>
  <si>
    <t>Adresa vjerovnika</t>
  </si>
  <si>
    <t>Vrsta tražbine</t>
  </si>
  <si>
    <t>Tražbina je navedena u prijedlogu za otvaranje predstečajnog postupka</t>
  </si>
  <si>
    <t>Prijava tražbine je podnesena</t>
  </si>
  <si>
    <t>Datum podnošenja prijave tražbine</t>
  </si>
  <si>
    <t>Ovršna isprava</t>
  </si>
  <si>
    <t>Pravna osnova tražbine</t>
  </si>
  <si>
    <t>Naziv predmeta</t>
  </si>
  <si>
    <t>KLASA PREDMETA</t>
  </si>
  <si>
    <t>URBROJ</t>
  </si>
  <si>
    <t>Iznos dospjele tražbine (EUR)</t>
  </si>
  <si>
    <t>Napomena</t>
  </si>
  <si>
    <t>Iznos tražbine navedene u prijedlogu za otvaranje predstečajnog postupka
(KN)</t>
  </si>
  <si>
    <t>Iznos tražbine navedene u prijedlogu za otvaranje predstečajnog postupka
(EUR)</t>
  </si>
  <si>
    <t>Iznos ukupne tražbine
(KN)</t>
  </si>
  <si>
    <t>Iznos ukupne tražbine
(EUR)</t>
  </si>
  <si>
    <t>Iznos dospjele tražbine
(KN)</t>
  </si>
  <si>
    <t>Iznos tražbine koja dospijeva nakon datuma otvaranja predmeta
(KN)</t>
  </si>
  <si>
    <t>Iznos tražbine koja dospijeva nakon datuma otvaranja predmeta
(EUR)</t>
  </si>
  <si>
    <t>034-011/24-10/34</t>
  </si>
  <si>
    <t>Trgovački sud u Rijeci</t>
  </si>
  <si>
    <t>St-316/2024</t>
  </si>
  <si>
    <t>KLANATRANS d.o.o. Klana</t>
  </si>
  <si>
    <t>Klana 98, 51217 Klana</t>
  </si>
  <si>
    <t>16.08.2024.</t>
  </si>
  <si>
    <t>GS1 CROATIA</t>
  </si>
  <si>
    <t>03365973101</t>
  </si>
  <si>
    <t xml:space="preserve">Preradovićeva ulica 35, 10000 Zagreb </t>
  </si>
  <si>
    <t>Redovna tražbina</t>
  </si>
  <si>
    <t>DA</t>
  </si>
  <si>
    <t>16.07.2024.</t>
  </si>
  <si>
    <t>DA
663,61 EUR / 5.000,00 kn</t>
  </si>
  <si>
    <t xml:space="preserve">GUMIIMPEX -GRP d.o.o. </t>
  </si>
  <si>
    <t>82298562620</t>
  </si>
  <si>
    <t>Ulica Mihovila Pavleka Miškine 64 C, 42000 Varaždin</t>
  </si>
  <si>
    <t>Računi za isporučena dobra i usluge</t>
  </si>
  <si>
    <r>
      <rPr>
        <b/>
        <sz val="8"/>
        <rFont val="Arial"/>
        <family val="2"/>
        <charset val="238"/>
      </rPr>
      <t>Dužnik</t>
    </r>
    <r>
      <rPr>
        <sz val="8"/>
        <rFont val="Arial"/>
        <family val="2"/>
        <charset val="238"/>
      </rPr>
      <t xml:space="preserve"> u prijedlogu nije naveo OIB i adresu vjerovnika</t>
    </r>
  </si>
  <si>
    <t>AUTOKLUB RIJEKA</t>
  </si>
  <si>
    <t>93075770066</t>
  </si>
  <si>
    <t>Dolac 11, 51000 Rijeka</t>
  </si>
  <si>
    <t>18.07.2024.</t>
  </si>
  <si>
    <t>Ugovor o poslovnoj suradnji - izvršene usluge</t>
  </si>
  <si>
    <t>ALCA ZAGREB d.o.o.</t>
  </si>
  <si>
    <t>58353015102</t>
  </si>
  <si>
    <t xml:space="preserve">Koledovčina 2, Zagreb </t>
  </si>
  <si>
    <t>FUCHS MAZIVA d.o.o.</t>
  </si>
  <si>
    <t>99694525219</t>
  </si>
  <si>
    <t xml:space="preserve">Domaslovec, I Krmica 8, 10430 Samobor </t>
  </si>
  <si>
    <t>19.07.2024.</t>
  </si>
  <si>
    <t>Ugovor</t>
  </si>
  <si>
    <t>BETONARA KOSTRENA d.o.o. u stečaju</t>
  </si>
  <si>
    <t>30113677538</t>
  </si>
  <si>
    <t xml:space="preserve">Šoići 1, Kostrena </t>
  </si>
  <si>
    <t>IMPULS-LEASING d.o.o.</t>
  </si>
  <si>
    <t>65918029671</t>
  </si>
  <si>
    <t>Ulica Velimira Škorpika 24 /1, Zagreb</t>
  </si>
  <si>
    <t>MATOKOVIĆ VESNA, odvjetnica</t>
  </si>
  <si>
    <t>01976875639</t>
  </si>
  <si>
    <t>MUČIĆI 62, 51216 VIŠKOVO</t>
  </si>
  <si>
    <t>Hrvatska radiotelevizija</t>
  </si>
  <si>
    <t>68419124305</t>
  </si>
  <si>
    <t xml:space="preserve">Prisavlje 3, Zagreb </t>
  </si>
  <si>
    <t>22.07.2024.</t>
  </si>
  <si>
    <t>Ugovor o financijskom br. 41405</t>
  </si>
  <si>
    <t>DA
29.070,00 EUR</t>
  </si>
  <si>
    <t>Izlučno pravo</t>
  </si>
  <si>
    <t>RENAULT T 460 T4X2 E6 TEGLJAČ, godina proizvodnje 2017, broj šasije: VF611A164HD019786</t>
  </si>
  <si>
    <t>23.07.2024.</t>
  </si>
  <si>
    <t>Zastupanje u prekršajnim postupcima-odvjetničke usluge, 
1. Pp-1461/2021 OS Rijeka; Prekršajni odjel.
2. Klasa 340-06/24-02/1191, urbroj 530-8-3-1-3-24-3, MINISTARSTVO PROMETA I INFRASTRUKTURE, SLUŽBA INSPEKCIJE CESTOVNOG PROMETA</t>
  </si>
  <si>
    <t>Redovni računi</t>
  </si>
  <si>
    <t>Komunalno društvo VODOVOD I KANALIZACIJA d.o.o.</t>
  </si>
  <si>
    <t>80805858278</t>
  </si>
  <si>
    <t>Dolac 14, 51000 Rijeka</t>
  </si>
  <si>
    <t>24.07.2024.</t>
  </si>
  <si>
    <t>Pružanje vodnih usluga javne vodoopskrbe i javne odvodnje</t>
  </si>
  <si>
    <t>90439696130</t>
  </si>
  <si>
    <t xml:space="preserve">VULKAL d.o.o. </t>
  </si>
  <si>
    <t xml:space="preserve">Samoborska Cesta 310, 10000 Zagreb </t>
  </si>
  <si>
    <t>25.07.2024.</t>
  </si>
  <si>
    <t>Otvorene stavke, razlike po računu RN 2983-362-168 od 19.04.2024. u iznosu od 2.717,73 EUR, račun RO 3193-362-168 u iznosu od 90,90 EUR, račun RO 3219-362-168 u iznosu od 36,80 EUR, račun RO 3531-362-289 u iznosu od 65,60 EUR, račun RO 4247-362-168 u iznosu od 19,45 EUR</t>
  </si>
  <si>
    <t>ŠIMIĆ DALIBORKA</t>
  </si>
  <si>
    <t>07153604620</t>
  </si>
  <si>
    <t xml:space="preserve">TURKOVIĆEVA ULICA 14, 51262 KRALJEVICA </t>
  </si>
  <si>
    <t>NE</t>
  </si>
  <si>
    <t>26.07.2024.</t>
  </si>
  <si>
    <t>Ugovor o radu, Otkaz ugovora o radu, obračuni isplaćene plaće</t>
  </si>
  <si>
    <t>PERUŠIĆ ANDREA</t>
  </si>
  <si>
    <t>73849903333</t>
  </si>
  <si>
    <t>GET 7, 51219 CERNIK</t>
  </si>
  <si>
    <t>Ugovor, aneksi, obračun plaća, otkaz</t>
  </si>
  <si>
    <t>UZELAC SANJIN</t>
  </si>
  <si>
    <t>39539113337</t>
  </si>
  <si>
    <t xml:space="preserve">MATE SUŠNJA 12, 51000 RIJEKA </t>
  </si>
  <si>
    <t>SMOLČIĆ SINIŠA</t>
  </si>
  <si>
    <t>82296780537</t>
  </si>
  <si>
    <t>KRALJA ZVONIMIRA 95, 51250 NOVI VINODOLSKI</t>
  </si>
  <si>
    <t>Pr-184/2024, OS Rijeka</t>
  </si>
  <si>
    <t>TRIGLAV OSIGURANJE d. d.</t>
  </si>
  <si>
    <t>29743547503</t>
  </si>
  <si>
    <t xml:space="preserve">Ulica Antuna Heinza 4, 10000 Zagreb </t>
  </si>
  <si>
    <t>Izvod otvorenih stavaka od 16.07.2024.
Police osiguranja od automobilske odgovornosti</t>
  </si>
  <si>
    <t>Fond za zaštitu okoliša i energetsku učinkovitost</t>
  </si>
  <si>
    <t>85828625994</t>
  </si>
  <si>
    <t xml:space="preserve">Radnička cesta 80, 10000 Zagreb </t>
  </si>
  <si>
    <t>DA
23,79 EUR</t>
  </si>
  <si>
    <t xml:space="preserve">HEP - Opskrba d.o.o. </t>
  </si>
  <si>
    <t>63073332379</t>
  </si>
  <si>
    <t xml:space="preserve">Ulica grada Vukovara 37, 10000 Zagreb </t>
  </si>
  <si>
    <t>METIS d.d.</t>
  </si>
  <si>
    <t xml:space="preserve">Kukuljanovo 414, 51227 Kukuljanovo </t>
  </si>
  <si>
    <t>29.07.2024.</t>
  </si>
  <si>
    <t>Računi br.: (227/510/37,2239/510/37,2264/510/37,2278/510/37,2313/510/37,2382/510/37,2465/510/37,2601/510/37,2874/510/37,2886/510/37,2952/510/37,2985/510/37,3027/510/37,3125/510/37,3167/510/37,3329/510/37,3540/510/37).</t>
  </si>
  <si>
    <r>
      <rPr>
        <b/>
        <sz val="8"/>
        <rFont val="Arial"/>
        <family val="2"/>
        <charset val="238"/>
      </rPr>
      <t>Dužnik</t>
    </r>
    <r>
      <rPr>
        <sz val="8"/>
        <rFont val="Arial"/>
        <family val="2"/>
        <charset val="238"/>
      </rPr>
      <t xml:space="preserve"> u prijedlogu nije naveo OIB i adresu vjerovnika </t>
    </r>
    <r>
      <rPr>
        <b/>
        <sz val="8"/>
        <rFont val="Arial"/>
        <family val="2"/>
        <charset val="238"/>
      </rPr>
      <t>Vjerovnik</t>
    </r>
    <r>
      <rPr>
        <sz val="8"/>
        <rFont val="Arial"/>
        <family val="2"/>
        <charset val="238"/>
      </rPr>
      <t xml:space="preserve"> u prijavi tražbine iskazao računsku pogrešku na način da u dospjelu tražbinu nije pribrojio iskazanu kamatu</t>
    </r>
  </si>
  <si>
    <t>19158233033</t>
  </si>
  <si>
    <t>MEDICOM d.o.o.</t>
  </si>
  <si>
    <t>63878741442</t>
  </si>
  <si>
    <t xml:space="preserve">Meštrovićeva 16, 51000 Rijeka </t>
  </si>
  <si>
    <t>30.07.2024.</t>
  </si>
  <si>
    <t>Račun 45/POSL1/1/24</t>
  </si>
  <si>
    <t>Hrvatski Telekom d.d.</t>
  </si>
  <si>
    <t>81793146560</t>
  </si>
  <si>
    <t xml:space="preserve">Radnička cesta 21, 10000 Zagreb </t>
  </si>
  <si>
    <t>Sveučilište u Rijeci STUDENTSKI CENTAR RIJEKA</t>
  </si>
  <si>
    <t>87500773013</t>
  </si>
  <si>
    <t xml:space="preserve">Ulica Radmile Matejčić 5, Rijeka </t>
  </si>
  <si>
    <t>Ugovor o obavljanju studentskoga posla br.24208045/24-4 od 06.03.2024.g
Račun br.9124-1-102 od 19.04.2024.g
Ugovor o obavljanju studentskoga posla br.24209984/24-4 od 31.03.2024.g
Račun br.10724-1-102 od 06.05.2024.g
Broj obračuna br.7 i 8 od 18.07.2024.g</t>
  </si>
  <si>
    <t>REPUBLIKA HRVATSKA MINISTARSTVO FINANCIJA</t>
  </si>
  <si>
    <t>18683136487</t>
  </si>
  <si>
    <t xml:space="preserve">Katančićeva ulica 5, 10000 Zagreb </t>
  </si>
  <si>
    <t>31.07.2024.</t>
  </si>
  <si>
    <t>Porezni dug</t>
  </si>
  <si>
    <t>DA
81.094,37 EUR</t>
  </si>
  <si>
    <t>Rješenje Republike Hrvatske, Ministarstva financija, Porezne uprave, Područnog ureda Rijeka o ovrsi pljenidbom, procjenom i prodajom motornog vozila, KL UP/I-415-02/2024-001/1680, ur.br. 513-007-08/2024-02 od 13.06.2024.
Zapisnik o izvršenoj pljenidbi i procjeni pokretne imovine, KL UP/I-415-02/2024-001/1680, ur.br. 513-007-08/2024-06 od 09.07.2024.</t>
  </si>
  <si>
    <t>Razlučno pravo</t>
  </si>
  <si>
    <t>Nekretnina označena kao k.č. 727/11, u naravi livada površine 553 m2, upisna u zk.ul.189 k.o. Rupa
Nekretnina označena kao k.č. 736/1, u naravi livada površine 32663 m2, upisna u zk.ul.310 k.o. Rupa</t>
  </si>
  <si>
    <t>Zahtjev Republike Hrvatske, Ministarstva financija, Porezne uprave, Područnog ureda Rijeka za podnošenje prijedloga za osiguranje novčane tražbine prisilnim zasnivanjem založnog parva, KL 415-02/2024-01/58, ur.broj 513-07-08/2024-01 od 13.06.2024.
Prijedlog Općinskog državnog odvjetništva za osiguranje novčane tražbine prisilnim zasnivanjem založnog prava na nekretnini, broj O-DO-370/2024 od 21.06.2024.
Rješenje Općinskog suda u Rijeci, Stalne službe u Delnicama, posl.br. OVR-851/2024 od 25.06.2024.
Rješenje Općinskog suda u Rijeci, Stalne službe u Opatiji, Zemljišnoknjižnog odjela, posl.br. Z-16223/2024 od 26.06.2024.
E-izvaci za nekretnine upisane u zemljišne knjige Općinskog suda u Rijeci, Zemljišnoknjižnog odjela Opatija, u zk.ul. 189 i 310 k.o. Rupa</t>
  </si>
  <si>
    <t>GRAD RIJEKA</t>
  </si>
  <si>
    <t>54382731928</t>
  </si>
  <si>
    <t>(-67,62 EUR)</t>
  </si>
  <si>
    <r>
      <rPr>
        <b/>
        <sz val="8"/>
        <rFont val="Arial"/>
        <family val="2"/>
        <charset val="238"/>
      </rPr>
      <t>Dužnik</t>
    </r>
    <r>
      <rPr>
        <sz val="8"/>
        <rFont val="Arial"/>
        <family val="2"/>
        <charset val="238"/>
      </rPr>
      <t xml:space="preserve"> u prijedlogu nije naveo OIB i adresu vjerovnika. Dužnik je u prijedlogu naveo preplatu dugovanja.</t>
    </r>
  </si>
  <si>
    <t>DA
885,47 EUR</t>
  </si>
  <si>
    <t xml:space="preserve">Korzo 16, 51000 Rijeka </t>
  </si>
  <si>
    <t>BFB, TRGOVINA IN STORITVE, D.O.O.</t>
  </si>
  <si>
    <t>10404345371</t>
  </si>
  <si>
    <t xml:space="preserve">RENŠKI PODKRAJ 39, 5292 RENČE, SLOVENIJA </t>
  </si>
  <si>
    <t>02.08.2024.</t>
  </si>
  <si>
    <t>Ugovorni odnos, poslovna suradnja, ovršni postupak Ovrv-13032/2024, j.b. Andrej Pavešić</t>
  </si>
  <si>
    <t>A1 Hrvatska d.o.o.</t>
  </si>
  <si>
    <t>29524210204</t>
  </si>
  <si>
    <t xml:space="preserve">Vrtni put 1, 10000 Zagreb </t>
  </si>
  <si>
    <t>Ugovor o pretplatničkom odnosu, šifra</t>
  </si>
  <si>
    <t>OPĆINA MATULJI</t>
  </si>
  <si>
    <t xml:space="preserve">Trg maršala Tita 11, 51211 Matulji </t>
  </si>
  <si>
    <t>23730024333</t>
  </si>
  <si>
    <t>01.08.2024.</t>
  </si>
  <si>
    <t>DA
2.212,42 EUR</t>
  </si>
  <si>
    <t>Rješenje KL UP/I-363-03/19-01/4539, UR.BR 2156/04-01-3-1-41-19-0001 doneseno 15.03.2019.
Rješenje KL UP/I-363-03/21-01/0148, UR BR 2156/04-03-03/6-21-0008 doneseno 09.11.2021.
Rješenje KL UP/I-325-08/19-08/89224, UR.BR 374-3303-2-19-1, doneseno 17.04.2019.
Rješenje KL UP/I-325-08/21-08/66018, UR.BR 374-3303-2-21-2, doneseno 09.11.2021.</t>
  </si>
  <si>
    <t>ERSTE&amp;STEIERMÄRKISCHE BANKA d.d.</t>
  </si>
  <si>
    <t>23057039320</t>
  </si>
  <si>
    <t>Jadranski trg 3 a, Rijeka</t>
  </si>
  <si>
    <t>DA
143.108,77 EUR</t>
  </si>
  <si>
    <r>
      <rPr>
        <b/>
        <sz val="8"/>
        <rFont val="Arial"/>
        <family val="2"/>
        <charset val="238"/>
      </rPr>
      <t>Vjerovnik</t>
    </r>
    <r>
      <rPr>
        <sz val="8"/>
        <rFont val="Arial"/>
        <family val="2"/>
        <charset val="238"/>
      </rPr>
      <t xml:space="preserve"> u prijavi tražbine iskazao računsku pogrešku kod iznosa dospjele tražbine (95.489,38 EUR)</t>
    </r>
  </si>
  <si>
    <t>Ugovor o otvaranju i vođenju transakcijkog računa od 12.04.2027.
Ugovor o kreditu broj 5002381905 od 21.12.2023.
Sporazum o podmirenju troškova-tuzemni bezregresni broj 5701155513 od 11.04.2024. koji je sastavni dio Ugovora o kratkoročnom limitu za faktoring poslove i poslove koji su u neposrednoj ili posrednoj vezi s poslovima faktoringa broj FL1630453 od 01.12.2022.</t>
  </si>
  <si>
    <t>OTP Leasing d.d.</t>
  </si>
  <si>
    <t>23780250353</t>
  </si>
  <si>
    <t xml:space="preserve">Petrovaradinska ulica 1, Zagreb </t>
  </si>
  <si>
    <t>DA
245.800,53 EUR</t>
  </si>
  <si>
    <t>Ugovori o financijskom leasingu broj 1082111, 1072132, 1072131, 1071793, 1067817, 1064918, 1064672, 1064496, 1062653, 1061786, 1059233 i 1049174</t>
  </si>
  <si>
    <t>Ugovor o financijskom leasingu broj 1082111
Ugovor o financijskom leasingu broj 1072132
Ugovor o financijskom leasingu broj 1072131
Ugovor o financijskom leasingu broj 1071793
Ugovor o financijskom leasingu broj 1067817
Ugovor o financijskom leasingu broj 1064918
Ugovor o financijskom leasingu broj 1064672
Ugovor o financijskom leasingu broj 1064496
Ugovor o financijskom leasingu broj 1062653
Ugovor o financijskom leasingu broj 1061786
Ugovor o financijskom leasingu broj 1059233
Ugovor o financijskom leasingu broj 1049174</t>
  </si>
  <si>
    <t xml:space="preserve">RENAULT T 460, VF611A16FD006789, 2015.g
SCHMITZ SCB S3T, WSM00000003255562, 2016.g.
RENAULT T460, VF611A162GD010874, 2015.g 
PRIKLJUČNO VOZILO KRONE SDP27, WKESD0000000680503, 2015.g
SCANIA R450, YS2R4X20002142899, 2018.g
SCANIA R450 LA4X2MNA, YS2R4X20005389123, 2015.g
IVECO STRALIS AS440S46, WJMM1VTH40C257233, 2013.g
RENAULT T460, VF611A164FD004993, 2014.g
SCANIA G440, YS2G4X20005337945, 2013.g
IVECO STRALIS 460-EEV, WJMM1VTH40C291450, 2014.g
IVECO STRALIS AS440S46,WJMM1VTH6HHC360357,2016.g
RENAULT T460, VF611A166GD016029, 2016.g
</t>
  </si>
  <si>
    <t>A-Z ULAGANJA d.o.o.</t>
  </si>
  <si>
    <t>04939450040</t>
  </si>
  <si>
    <t xml:space="preserve">Kukuljanovo 387, 51222 Grad Bakar </t>
  </si>
  <si>
    <t>DA
780.000,00 EUR</t>
  </si>
  <si>
    <t>Ugovor o dugoročnoj pozajmici 300.000,00 EUR od 11.10.2023.g, Ugovor o dugoročnoj pozajmici 200.000,00 EUR od 11.10.2023.g, Ugovor o dugoročnoj pozajmici 140.000,00 EUR od 01.12.2023.g, Ugovor o dugoročnoj pozajmici od 140.000,00 EUR od 22.12.2023.g., Obračun zateznih zateznih kamata, Obračun redovnih kamata</t>
  </si>
  <si>
    <t>ADRIA OIL d.o.o.</t>
  </si>
  <si>
    <t>03004159051</t>
  </si>
  <si>
    <t xml:space="preserve">Spinčići 38, 51215 Kastav </t>
  </si>
  <si>
    <t>Ugovor o isporuci goriva</t>
  </si>
  <si>
    <t>DA
584.257,13 EUR</t>
  </si>
  <si>
    <t>BAĆIĆ ROBERT</t>
  </si>
  <si>
    <t>40343697930</t>
  </si>
  <si>
    <t xml:space="preserve">MARINIĆI 92, 51216 VIŠKOVO </t>
  </si>
  <si>
    <t>06.08.2024.</t>
  </si>
  <si>
    <t>Ugovor o pozajmici od 01.09.2016.g i obračun kamate-Fina od 23.07.2024.g</t>
  </si>
  <si>
    <t>63873177102</t>
  </si>
  <si>
    <t xml:space="preserve">Ulica Ivane Brlić-Mažuranić 17, Varaždin </t>
  </si>
  <si>
    <t xml:space="preserve">RECA d.o.o. </t>
  </si>
  <si>
    <t>Kupoprodaja robe</t>
  </si>
  <si>
    <t>Erste &amp; Steiermärkische S-Leasing d.o.o.</t>
  </si>
  <si>
    <t>46550671661</t>
  </si>
  <si>
    <t>Zelinska ulica 3, Zagreb</t>
  </si>
  <si>
    <t>DA
16.431,94 EUR</t>
  </si>
  <si>
    <t>Ugovor o financijskom leasingu broj 100362/23</t>
  </si>
  <si>
    <t>MESSER CROATIA PLIN  d.o.o.</t>
  </si>
  <si>
    <t>32179081874</t>
  </si>
  <si>
    <t xml:space="preserve">Industrijska ulica 1, 10290 Zaprešić </t>
  </si>
  <si>
    <t>Izvadak iz poslovnih knjiga vjerovnika o stanju ambalaže u najmu</t>
  </si>
  <si>
    <t>3 (tri) boce za tehničke plinove koje su vlasništvo vjerovnika, a nalaze se u najmu kod dužnika</t>
  </si>
  <si>
    <t>MICK d.o.o.</t>
  </si>
  <si>
    <t>04021334723</t>
  </si>
  <si>
    <t xml:space="preserve">Kukuljanovo 447, 51227 Kukuljanovo </t>
  </si>
  <si>
    <t>Izvod otvorenih stavaka, računi i otpremnice</t>
  </si>
  <si>
    <t>Hrvatske autoceste d.o.o.</t>
  </si>
  <si>
    <t>57500462912</t>
  </si>
  <si>
    <t>Ulica Stjepana Širole 4, Zagreb</t>
  </si>
  <si>
    <t>Račun br. 581179-613-600 od 21.06.2024. na iznos od 219,40 EUR - cestarina
Račun br. 542990-630-600 od 31.05.2024. na iznos od 7,60 EUR - cestraina</t>
  </si>
  <si>
    <t>INA-INDUSTRIJA NAFTE, d.d.</t>
  </si>
  <si>
    <t>Avenija Većeslava Holjevca 10, Zagreb</t>
  </si>
  <si>
    <t>27759560625</t>
  </si>
  <si>
    <t>DA
200.000,00 kn</t>
  </si>
  <si>
    <t>Ugovor 674/97 o korištenju kreditne kartice INA - kartica zaključen dana 29.12.1997.</t>
  </si>
  <si>
    <t xml:space="preserve">PRIVIUM d.o.o. </t>
  </si>
  <si>
    <t>59699955689</t>
  </si>
  <si>
    <t xml:space="preserve">Ulica Bartula Kašića 6, 10000 Zagreb </t>
  </si>
  <si>
    <t>DA
34.350,00 EUR</t>
  </si>
  <si>
    <t>Ugovor o zajmu br. 14/2023 od 03.10.2023. i ugovor o zajmu br. 03/2024 od 08.03.2024., a sve uz pripadajuću bjanko zadužnicu i dopis FINA-i od 14.06.2024. sa zahtjevom za izravnu naplatu
Obračun kamate</t>
  </si>
  <si>
    <t>D.I.R.N.I.S. d.o.o.</t>
  </si>
  <si>
    <t>55707652216</t>
  </si>
  <si>
    <t>Buzdohanj, Jakla 5, 51219 Čavle</t>
  </si>
  <si>
    <t xml:space="preserve">HANSA-FLEX Croatia d.o.o. </t>
  </si>
  <si>
    <t>60365429880</t>
  </si>
  <si>
    <t>Rimski put 28, 10360 Sesvete</t>
  </si>
  <si>
    <t>Izvadak iz poslovnih knjiga</t>
  </si>
  <si>
    <t>Financijska agencija</t>
  </si>
  <si>
    <t>85821130368</t>
  </si>
  <si>
    <t xml:space="preserve">Ulica grada Vukovara 70, 10000 Zagreb </t>
  </si>
  <si>
    <t>Naknada za provedbu osnova za plaćanje-prisilna naplata</t>
  </si>
  <si>
    <t>ESC Factoring d.o.o. za faktoring</t>
  </si>
  <si>
    <t>00180729178</t>
  </si>
  <si>
    <t xml:space="preserve">Radnička cesta 32, 10000 Zagreb </t>
  </si>
  <si>
    <t>DA
54.135,55 EUR</t>
  </si>
  <si>
    <t>Račun broj 57-1-1 i Račun broj 56-1-1, Ugovor o faktoringu broj 40-2024-FD, a sve uz pripadajuću bjanko zadužnicu i dopis Fina-i za izravnu naplatu
Obračun kamata</t>
  </si>
  <si>
    <t>ERSTE CARD CLUB d.o.o.</t>
  </si>
  <si>
    <t>85941596441</t>
  </si>
  <si>
    <t xml:space="preserve">Ulica Frana Folnegovića 6, 10000 Zagreb </t>
  </si>
  <si>
    <t>DA
51.946,72 EUR</t>
  </si>
  <si>
    <t>Ugovor o korištenju Diners Club Bussines kartice
Bjanko zadužnica, br. OV-15537/2017, potvrđena po JB Veliboru Panjkoviću iz Rijeke
Bjanko zadužnica, br. OV-15537/2017, potvrđena po JB Veliboru Panjkoviću iz Rijeke</t>
  </si>
  <si>
    <t>HRVATSKA GOSPODARSKA KOMORA</t>
  </si>
  <si>
    <t>85167032587</t>
  </si>
  <si>
    <t xml:space="preserve">Rooseveltov trg 2, 10000 Zagreb </t>
  </si>
  <si>
    <t>07.08.2024.</t>
  </si>
  <si>
    <t>PROTELUM d.o.o.</t>
  </si>
  <si>
    <t>SI18600468</t>
  </si>
  <si>
    <t>Tomačevo 1, 1000 Ljubljana, Slovenija</t>
  </si>
  <si>
    <t>UJČIČ d.o.o.</t>
  </si>
  <si>
    <t>SI60235730</t>
  </si>
  <si>
    <t>Zarečje 30, 6250 Ilirska Bistrica, Slovenija</t>
  </si>
  <si>
    <t>ISTARSKA KREDITNA BANKA UMAG  d.d.</t>
  </si>
  <si>
    <t>65723536010</t>
  </si>
  <si>
    <t xml:space="preserve">Ulica Ernesta Miloša - Via Ernest Miloš 1, 52470 Umag </t>
  </si>
  <si>
    <t>08.08.2024.</t>
  </si>
  <si>
    <t>Ugovor o kreditu br. 9600016092, zaključen 24.12.2020.g.</t>
  </si>
  <si>
    <t>DA
335.007,94 EUR</t>
  </si>
  <si>
    <t>DA
232.840,23 EUR</t>
  </si>
  <si>
    <t>Ugovor o kreditu br. 9260100060, zaključen 03.07.2023.g.</t>
  </si>
  <si>
    <t>Ugovor o kreditu broj 9600016563, zaključen 30.03.2022.g.</t>
  </si>
  <si>
    <t>DA
329.929,50 EUR</t>
  </si>
  <si>
    <t>Ugovor o kreditu broj 9260100035, zaključen 31.01.2023.g.</t>
  </si>
  <si>
    <t>DA
752.233,36 EUR</t>
  </si>
  <si>
    <t>Ugovor o kreditu broj 9260100094, zaključen 22.12.2023.g.</t>
  </si>
  <si>
    <t>DA
266.747,65 EUR</t>
  </si>
  <si>
    <t>Ugovor o kreditu broj 9600015722, zaključen 24.12.2019.g., Ugovor o okvirnom iznosu korištenja (zaduženja) kreditnog i garantnog potencijala Banke te osiguranju tražbine zasnivanjem založnog prava (hipoteke) na nekretninama, zaključen 11.11.2019.g.</t>
  </si>
  <si>
    <t>DA
20.096,14 EUR</t>
  </si>
  <si>
    <t>Ugovor o kreditu sa sporazumom o osiguranju tražbine broj 92600014956, zaključen 09.10.2017.g., Aneks br.1., Ugovora, zaključen 27.09.2018.g., Sporazum o osiguranju tražbine zasnivanjem založnog prava na pokretninama, zaključen 05.03.2020.g.</t>
  </si>
  <si>
    <t>DA
45.373,58 EUR</t>
  </si>
  <si>
    <t>Ugovor o kreditu br. 9600016092, zaključen 24.12.2020.g.
Ugovor o kreditu br. 9260100060, zaključen 03.07.2023.g.
Ugovor o kreditu broj 9600016563, zaključen 30.03.2022.g.
Ugovor o kreditu broj 9260100035, zaključen 31.01.2023.g.
Ugovor o kreditu broj 9260100094, zaključen 22.12.2023.g.
Ugovor o kreditu broj 92600014956, zaključen 09.10.20217.g.</t>
  </si>
  <si>
    <t>Nekretnine upisane u zemljišne knjige Općinskog suda u Rijeci, z.k. Odjel Opatija, k.č.br. 736/1 upisana u z.k.ul. 310 k.o. Rupa i k.č.br. 731/1 upisna u z.k.ul. 311 k.o. Rupa
Tegljač, višebojan, snaga motora: 368 kw, PU primorsko goranska, god.proizvodnje: 2008.g., Marka Iveco: Tip: Stralis, Reg.br.: RI1001KT, broj šasije: WJMM1VUH404344343
Tegljač, višebojan, snaga motora: 368 kw, PU primorsko goranska, god.proizvodnje: 2007.g., Marka Iveco: Tip: Stralis, Reg.br.: RI9900KT, broj šasije: XLER4X20005161022</t>
  </si>
  <si>
    <t>FÖRCH d.o.o.</t>
  </si>
  <si>
    <t>74056056752</t>
  </si>
  <si>
    <t xml:space="preserve">Buzinska cesta 58, 10010 Buzin </t>
  </si>
  <si>
    <t>Izvod iz poslovnih knjiga, računi, otpremio</t>
  </si>
  <si>
    <t>CENTAR ZA VOZILA HRVATSKE d.d.</t>
  </si>
  <si>
    <t>73294314024</t>
  </si>
  <si>
    <t xml:space="preserve">Capraška ulica 6, 10000 Zagreb </t>
  </si>
  <si>
    <t>09.08.2024.</t>
  </si>
  <si>
    <t>Usluge tehničkog pregleda vozila</t>
  </si>
  <si>
    <t>FAI SERVICE SOCIETA COOPERATIVA</t>
  </si>
  <si>
    <t>IT026546400</t>
  </si>
  <si>
    <t>VIALE CASSALA 57, 20143 MILANO, ITALIJA</t>
  </si>
  <si>
    <t>Referentni br. St-316/2024, Trgovački sud u Rijeci, Zadarska 1 i 3, 51000 Rijeka</t>
  </si>
  <si>
    <t>Prema pril.spec. KL 423-01/24-02/5, UR.BR. 2170-1-11-04-24-3 od 29.07.2024.</t>
  </si>
  <si>
    <t xml:space="preserve">Teretni automobil, marke SCANIA R 420, god.proizvodnje 2012., br.šasije XLER4X200C5288327, reg.oznaka RI0660KT
Teretni automobil, marke RENAULT 4X2 T / T 460, god.prizvodnje 2014., br.šasije VF611A137ED000182, reg.oznaka RI6006KT
Teretni automobil, marke SCANIA DC 12 22 / G420, god.proizvodnje 2011., br.šasije XLEG4X20005240809, reg.oznaka RI0110KT
Teretni automobil, marke RENAULT PREMIUM 460, god.prizvodnje 2012., br.šasije VF624GPA000061775, reg.oznaka RI6000KT
Teretni automobil, marke SCANIA, LA4X2MNA / R 560, god.proizvodnje 2011., br.šasije XLER4X20005255100, reg.oznaka RI9999KT
Teretni automobil, marke SCANIA R500, god.proizvodnja 2011., broj šasije VLUR4X20009162629, reg.oznaka RI8008KT
Teretni automobil, marka SCANIA R500, god.proizvodnje 2011., br.šasije VLUR4X20009162599, reg.oznaka RI8000KT
Teretni automobil, marke SCANIA R560 LA4X2MNA, god.proizvodnje 2011., br.šasije XLER4X20005262357, reg.oznaka RI7700KT
Teretni automobil, marke SCANIA R420, god.proizvodnje 2012., br.šasije YS2R4X20005306947, reg.oznala RI7000KT
Teretni automobil, marke VOLVO FH, god.prizvodnje 2013., br.šasije YV2RG10A8DA743173, reg.oznaka RI6600KT
Teretni automobil, marke RENAULT 460 / PREMIUM, god.proizvodnje 2014., br.šasije VF611A164ED003082, reg.oznaka RI9009KT
Teretni automobil, marke RENAULT T 460, god.proizvodnje 2014., br.šasije VF611A167ED003089, reg.oznaka RI3000KT
</t>
  </si>
  <si>
    <t>Rješenje o obračunu plaćanja naknade gospodarenja gumama (KL: UP/I-351-02/24-24/3295, ur.broj: 563-06-3-1/417-24-2) od 28.03.2024. na iznos od 23,79 EUR 
Obračun kamata primjenom jednostavnog kamatnog računa, broj obračuna 9100000012 od 15.07.2024.na iznos od 0,37 EUR, obračun kamata koji se temelji na Rješenju o obračunu plaćanja naknade gospodarenja gumama (KL: UP/I-351-02/24-24/3295, ur.broj: 563-06-3-1/417-24-2) od 28.03.2024.</t>
  </si>
  <si>
    <t xml:space="preserve">Izjava  </t>
  </si>
  <si>
    <t>NEWCO S.R.L.</t>
  </si>
  <si>
    <t>IT02543340307</t>
  </si>
  <si>
    <t>VIA ANDREA PALLADIO N.66, 33010 TAVAGNACCO (UD), ITALIA</t>
  </si>
  <si>
    <t>118-08-4012-24-57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</si>
</sst>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00\ [$EUR]"/>
  </numFmts>
  <fonts count="8" x14ac:knownFonts="1">
    <font>
      <sz val="10"/>
      <name val="Arial"/>
    </font>
    <font>
      <b/>
      <sz val="7"/>
      <name val="Arial"/>
      <family val="2"/>
      <charset val="238"/>
    </font>
    <font>
      <sz val="7"/>
      <name val="Arial"/>
      <family val="2"/>
      <charset val="238"/>
    </font>
    <font>
      <b/>
      <sz val="8"/>
      <name val="Arial"/>
      <family val="2"/>
      <charset val="238"/>
    </font>
    <font>
      <sz val="8"/>
      <name val="Arial"/>
      <family val="2"/>
      <charset val="238"/>
    </font>
    <font>
      <b/>
      <sz val="9"/>
      <name val="Arial"/>
      <family val="2"/>
      <charset val="238"/>
    </font>
    <font>
      <sz val="8"/>
      <color rgb="FFFF0000"/>
      <name val="Arial"/>
      <family val="2"/>
      <charset val="238"/>
    </font>
    <font>
      <b/>
      <i/>
      <sz val="8"/>
      <color rgb="FFFF0000"/>
      <name val="Arial"/>
      <family val="2"/>
      <charset val="238"/>
    </font>
  </fonts>
  <fills count="3">
    <fill>
      <patternFill patternType="none"/>
    </fill>
    <fill>
      <patternFill patternType="gray125"/>
    </fill>
    <fill>
      <patternFill patternType="solid">
        <fgColor indexed="40"/>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style="hair">
        <color indexed="8"/>
      </left>
      <right style="hair">
        <color indexed="8"/>
      </right>
      <top style="hair">
        <color indexed="8"/>
      </top>
      <bottom/>
      <diagonal/>
    </border>
  </borders>
  <cellStyleXfs count="1">
    <xf numFmtId="0" fontId="0" fillId="0" borderId="0"/>
  </cellStyleXfs>
  <cellXfs count="61">
    <xf numFmtId="0" fontId="0" fillId="0" borderId="0" xfId="0"/>
    <xf numFmtId="0" fontId="0" fillId="0" borderId="0" xfId="0" applyAlignment="1">
      <alignment horizontal="center" vertical="center"/>
    </xf>
    <xf numFmtId="49" fontId="1" fillId="2" borderId="1" xfId="0" applyNumberFormat="1" applyFont="1" applyFill="1" applyBorder="1" applyAlignment="1">
      <alignment horizontal="center" vertical="center" wrapText="1"/>
    </xf>
    <xf numFmtId="49" fontId="2" fillId="0" borderId="0" xfId="0" applyNumberFormat="1" applyFont="1" applyAlignment="1">
      <alignment wrapText="1"/>
    </xf>
    <xf numFmtId="0" fontId="4" fillId="0" borderId="0" xfId="0" applyFont="1"/>
    <xf numFmtId="0" fontId="4" fillId="0" borderId="0" xfId="0" applyFont="1" applyAlignment="1">
      <alignment horizontal="center" vertical="center"/>
    </xf>
    <xf numFmtId="49" fontId="1" fillId="2" borderId="1" xfId="0" applyNumberFormat="1" applyFont="1" applyFill="1" applyBorder="1" applyAlignment="1">
      <alignment horizontal="center" vertical="center" textRotation="90" wrapText="1"/>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4" fillId="0" borderId="2" xfId="0" applyFont="1" applyBorder="1" applyAlignment="1">
      <alignment horizontal="center" vertical="center" wrapText="1"/>
    </xf>
    <xf numFmtId="49" fontId="4" fillId="0" borderId="2" xfId="0" applyNumberFormat="1" applyFont="1" applyBorder="1" applyAlignment="1">
      <alignment horizontal="left" vertical="center" wrapText="1"/>
    </xf>
    <xf numFmtId="49" fontId="4" fillId="0" borderId="2" xfId="0" applyNumberFormat="1" applyFont="1" applyBorder="1" applyAlignment="1">
      <alignment horizontal="center" vertical="center" wrapText="1"/>
    </xf>
    <xf numFmtId="0" fontId="4" fillId="0" borderId="2" xfId="0" applyFont="1" applyBorder="1" applyAlignment="1">
      <alignment vertical="center" wrapText="1"/>
    </xf>
    <xf numFmtId="164" fontId="4" fillId="0" borderId="2" xfId="0" applyNumberFormat="1" applyFont="1" applyBorder="1" applyAlignment="1">
      <alignment horizontal="right" vertical="center" wrapText="1"/>
    </xf>
    <xf numFmtId="165" fontId="4" fillId="0" borderId="2" xfId="0" applyNumberFormat="1" applyFont="1" applyBorder="1" applyAlignment="1">
      <alignment horizontal="right" vertical="center"/>
    </xf>
    <xf numFmtId="0" fontId="4" fillId="0" borderId="2" xfId="0" applyFont="1" applyBorder="1" applyAlignment="1">
      <alignment horizontal="center" vertical="center"/>
    </xf>
    <xf numFmtId="164" fontId="4" fillId="0" borderId="2" xfId="0" applyNumberFormat="1" applyFont="1" applyBorder="1" applyAlignment="1">
      <alignment horizontal="center" vertical="center"/>
    </xf>
    <xf numFmtId="165" fontId="4" fillId="0" borderId="2" xfId="0" applyNumberFormat="1" applyFont="1" applyBorder="1" applyAlignment="1">
      <alignment horizontal="center" vertical="center"/>
    </xf>
    <xf numFmtId="0" fontId="7" fillId="0" borderId="2" xfId="0" applyFont="1" applyBorder="1" applyAlignment="1">
      <alignment horizontal="center" vertical="center"/>
    </xf>
    <xf numFmtId="0" fontId="4" fillId="0" borderId="2" xfId="0" applyFont="1" applyBorder="1" applyAlignment="1">
      <alignment horizontal="left" vertical="center" wrapText="1"/>
    </xf>
    <xf numFmtId="0" fontId="6" fillId="0" borderId="2" xfId="0" applyFont="1" applyBorder="1" applyAlignment="1">
      <alignment horizontal="right" vertical="center"/>
    </xf>
    <xf numFmtId="0" fontId="4" fillId="0" borderId="2" xfId="0" applyFont="1" applyBorder="1" applyAlignment="1">
      <alignment horizontal="left" vertical="center"/>
    </xf>
    <xf numFmtId="49" fontId="4" fillId="0" borderId="3" xfId="0" applyNumberFormat="1" applyFont="1" applyBorder="1" applyAlignment="1">
      <alignment horizontal="left" vertical="center" wrapText="1"/>
    </xf>
    <xf numFmtId="49"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164" fontId="4" fillId="0" borderId="3" xfId="0" applyNumberFormat="1" applyFont="1" applyBorder="1" applyAlignment="1">
      <alignment horizontal="right" vertical="center" wrapText="1"/>
    </xf>
    <xf numFmtId="165" fontId="4" fillId="0" borderId="3" xfId="0" applyNumberFormat="1" applyFont="1" applyBorder="1" applyAlignment="1">
      <alignment horizontal="right" vertical="center"/>
    </xf>
    <xf numFmtId="0" fontId="4" fillId="0" borderId="3" xfId="0" applyFont="1" applyBorder="1" applyAlignment="1">
      <alignment horizontal="center" vertical="center"/>
    </xf>
    <xf numFmtId="164" fontId="4" fillId="0" borderId="2" xfId="0" applyNumberFormat="1" applyFont="1" applyBorder="1" applyAlignment="1">
      <alignment horizontal="center" vertical="center" wrapText="1"/>
    </xf>
    <xf numFmtId="165" fontId="4" fillId="0" borderId="4" xfId="0" applyNumberFormat="1" applyFont="1" applyBorder="1" applyAlignment="1">
      <alignment horizontal="center" vertical="center"/>
    </xf>
    <xf numFmtId="165" fontId="4" fillId="0" borderId="3" xfId="0" applyNumberFormat="1" applyFont="1" applyBorder="1" applyAlignment="1">
      <alignment horizontal="center" vertical="center"/>
    </xf>
    <xf numFmtId="165" fontId="4" fillId="0" borderId="2"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3" xfId="0" applyNumberFormat="1" applyFont="1" applyBorder="1" applyAlignment="1">
      <alignment horizontal="center" vertical="center"/>
    </xf>
    <xf numFmtId="164" fontId="4" fillId="0" borderId="2" xfId="0" applyNumberFormat="1" applyFont="1" applyBorder="1" applyAlignment="1">
      <alignment horizontal="center" vertical="center"/>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164" fontId="4" fillId="0" borderId="4"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49" fontId="4" fillId="0" borderId="4"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4"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165" fontId="4" fillId="0" borderId="4" xfId="0" applyNumberFormat="1" applyFont="1" applyBorder="1" applyAlignment="1">
      <alignment horizontal="right" vertical="center"/>
    </xf>
    <xf numFmtId="165" fontId="4" fillId="0" borderId="2" xfId="0" applyNumberFormat="1" applyFont="1" applyBorder="1" applyAlignment="1">
      <alignment horizontal="right" vertical="center"/>
    </xf>
    <xf numFmtId="0" fontId="3" fillId="0" borderId="0" xfId="0" applyFont="1" applyAlignment="1">
      <alignment horizontal="left" vertical="center"/>
    </xf>
    <xf numFmtId="0" fontId="5" fillId="0" borderId="0" xfId="0" applyFont="1" applyAlignment="1">
      <alignment horizontal="left" vertical="center"/>
    </xf>
    <xf numFmtId="14" fontId="4" fillId="0" borderId="0" xfId="0" applyNumberFormat="1" applyFont="1" applyAlignment="1">
      <alignment horizontal="left" vertical="center"/>
    </xf>
    <xf numFmtId="0" fontId="4"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6"/>
  <sheetViews>
    <sheetView tabSelected="1" zoomScale="90" zoomScaleNormal="90" workbookViewId="0">
      <selection activeCell="D7" sqref="D7:T7"/>
    </sheetView>
  </sheetViews>
  <sheetFormatPr defaultRowHeight="13.2" x14ac:dyDescent="0.25"/>
  <cols>
    <col min="1" max="1" width="4.33203125" style="1" customWidth="1"/>
    <col min="2" max="2" width="24.5546875" style="8" customWidth="1"/>
    <col min="3" max="3" width="14.5546875" style="8" customWidth="1"/>
    <col min="4" max="4" width="13.88671875" style="10" customWidth="1"/>
    <col min="5" max="5" width="8.33203125" style="1" customWidth="1"/>
    <col min="6" max="6" width="10" style="1" customWidth="1"/>
    <col min="7" max="7" width="12" style="1" bestFit="1" customWidth="1"/>
    <col min="8" max="8" width="13.44140625" style="1" customWidth="1"/>
    <col min="9" max="9" width="7.88671875" style="1" customWidth="1"/>
    <col min="10" max="10" width="9.6640625" style="1" customWidth="1"/>
    <col min="11" max="11" width="13.5546875" style="1" bestFit="1" customWidth="1"/>
    <col min="12" max="12" width="16.109375" style="1" customWidth="1"/>
    <col min="13" max="13" width="10.33203125" style="1" customWidth="1"/>
    <col min="14" max="14" width="15.6640625" style="1" customWidth="1"/>
    <col min="15" max="15" width="11" style="1" customWidth="1"/>
    <col min="16" max="16" width="13.44140625" style="1" customWidth="1"/>
    <col min="17" max="17" width="15.88671875" style="1" bestFit="1" customWidth="1"/>
    <col min="18" max="18" width="70.109375" style="1" bestFit="1" customWidth="1"/>
    <col min="19" max="19" width="47.33203125" style="1" bestFit="1" customWidth="1"/>
    <col min="20" max="20" width="16.6640625" style="1" bestFit="1" customWidth="1"/>
  </cols>
  <sheetData>
    <row r="1" spans="1:20" s="4" customFormat="1" ht="12" x14ac:dyDescent="0.2">
      <c r="A1" s="57" t="s">
        <v>0</v>
      </c>
      <c r="B1" s="57"/>
      <c r="C1" s="57"/>
      <c r="D1" s="58" t="s">
        <v>1</v>
      </c>
      <c r="E1" s="58"/>
      <c r="F1" s="58"/>
      <c r="G1" s="58"/>
      <c r="H1" s="58"/>
      <c r="I1" s="58"/>
      <c r="J1" s="58"/>
      <c r="K1" s="58"/>
      <c r="L1" s="58"/>
      <c r="M1" s="58"/>
      <c r="N1" s="58"/>
      <c r="O1" s="58"/>
      <c r="P1" s="58"/>
      <c r="Q1" s="58"/>
      <c r="R1" s="58"/>
      <c r="S1" s="58"/>
      <c r="T1" s="58"/>
    </row>
    <row r="2" spans="1:20" s="4" customFormat="1" ht="10.199999999999999" x14ac:dyDescent="0.2">
      <c r="A2" s="57" t="s">
        <v>2</v>
      </c>
      <c r="B2" s="57"/>
      <c r="C2" s="57"/>
      <c r="D2" s="59" t="s">
        <v>37</v>
      </c>
      <c r="E2" s="60"/>
      <c r="F2" s="60"/>
      <c r="G2" s="60"/>
      <c r="H2" s="60"/>
      <c r="I2" s="60"/>
      <c r="J2" s="60"/>
      <c r="K2" s="60"/>
      <c r="L2" s="60"/>
      <c r="M2" s="60"/>
      <c r="N2" s="60"/>
      <c r="O2" s="60"/>
      <c r="P2" s="60"/>
      <c r="Q2" s="60"/>
      <c r="R2" s="60"/>
      <c r="S2" s="60"/>
      <c r="T2" s="60"/>
    </row>
    <row r="3" spans="1:20" s="4" customFormat="1" ht="10.199999999999999" x14ac:dyDescent="0.2">
      <c r="A3" s="57" t="s">
        <v>21</v>
      </c>
      <c r="B3" s="57" t="s">
        <v>3</v>
      </c>
      <c r="C3" s="57"/>
      <c r="D3" s="60" t="s">
        <v>32</v>
      </c>
      <c r="E3" s="60"/>
      <c r="F3" s="60"/>
      <c r="G3" s="60"/>
      <c r="H3" s="60"/>
      <c r="I3" s="60"/>
      <c r="J3" s="60"/>
      <c r="K3" s="60"/>
      <c r="L3" s="60"/>
      <c r="M3" s="60"/>
      <c r="N3" s="60"/>
      <c r="O3" s="60"/>
      <c r="P3" s="60"/>
      <c r="Q3" s="60"/>
      <c r="R3" s="60"/>
      <c r="S3" s="60"/>
      <c r="T3" s="60"/>
    </row>
    <row r="4" spans="1:20" s="4" customFormat="1" ht="10.199999999999999" x14ac:dyDescent="0.2">
      <c r="A4" s="57" t="s">
        <v>22</v>
      </c>
      <c r="B4" s="57"/>
      <c r="C4" s="57"/>
      <c r="D4" s="60" t="s">
        <v>301</v>
      </c>
      <c r="E4" s="60"/>
      <c r="F4" s="60"/>
      <c r="G4" s="60"/>
      <c r="H4" s="60"/>
      <c r="I4" s="60"/>
      <c r="J4" s="60"/>
      <c r="K4" s="60"/>
      <c r="L4" s="60"/>
      <c r="M4" s="60"/>
      <c r="N4" s="60"/>
      <c r="O4" s="60"/>
      <c r="P4" s="60"/>
      <c r="Q4" s="60"/>
      <c r="R4" s="60"/>
      <c r="S4" s="60"/>
      <c r="T4" s="60"/>
    </row>
    <row r="5" spans="1:20" s="4" customFormat="1" ht="10.199999999999999" x14ac:dyDescent="0.2">
      <c r="A5" s="57" t="s">
        <v>4</v>
      </c>
      <c r="B5" s="57"/>
      <c r="C5" s="57"/>
      <c r="D5" s="60" t="s">
        <v>33</v>
      </c>
      <c r="E5" s="60"/>
      <c r="F5" s="60"/>
      <c r="G5" s="60"/>
      <c r="H5" s="60"/>
      <c r="I5" s="60"/>
      <c r="J5" s="60"/>
      <c r="K5" s="60"/>
      <c r="L5" s="60"/>
      <c r="M5" s="60"/>
      <c r="N5" s="60"/>
      <c r="O5" s="60"/>
      <c r="P5" s="60"/>
      <c r="Q5" s="60"/>
      <c r="R5" s="60"/>
      <c r="S5" s="60"/>
      <c r="T5" s="60"/>
    </row>
    <row r="6" spans="1:20" s="4" customFormat="1" ht="10.199999999999999" x14ac:dyDescent="0.2">
      <c r="A6" s="57" t="s">
        <v>5</v>
      </c>
      <c r="B6" s="57"/>
      <c r="C6" s="57"/>
      <c r="D6" s="60" t="s">
        <v>34</v>
      </c>
      <c r="E6" s="60"/>
      <c r="F6" s="60"/>
      <c r="G6" s="60"/>
      <c r="H6" s="60"/>
      <c r="I6" s="60"/>
      <c r="J6" s="60"/>
      <c r="K6" s="60"/>
      <c r="L6" s="60"/>
      <c r="M6" s="60"/>
      <c r="N6" s="60"/>
      <c r="O6" s="60"/>
      <c r="P6" s="60"/>
      <c r="Q6" s="60"/>
      <c r="R6" s="60"/>
      <c r="S6" s="60"/>
      <c r="T6" s="60"/>
    </row>
    <row r="7" spans="1:20" s="4" customFormat="1" ht="10.199999999999999" x14ac:dyDescent="0.2">
      <c r="A7" s="57" t="s">
        <v>6</v>
      </c>
      <c r="B7" s="57" t="s">
        <v>3</v>
      </c>
      <c r="C7" s="57"/>
      <c r="D7" s="60"/>
      <c r="E7" s="60"/>
      <c r="F7" s="60"/>
      <c r="G7" s="60"/>
      <c r="H7" s="60"/>
      <c r="I7" s="60"/>
      <c r="J7" s="60"/>
      <c r="K7" s="60"/>
      <c r="L7" s="60"/>
      <c r="M7" s="60"/>
      <c r="N7" s="60"/>
      <c r="O7" s="60"/>
      <c r="P7" s="60"/>
      <c r="Q7" s="60"/>
      <c r="R7" s="60"/>
      <c r="S7" s="60"/>
      <c r="T7" s="60"/>
    </row>
    <row r="8" spans="1:20" s="4" customFormat="1" ht="10.199999999999999" x14ac:dyDescent="0.2">
      <c r="A8" s="57" t="s">
        <v>7</v>
      </c>
      <c r="B8" s="57"/>
      <c r="C8" s="57"/>
      <c r="D8" s="60" t="s">
        <v>35</v>
      </c>
      <c r="E8" s="60"/>
      <c r="F8" s="60"/>
      <c r="G8" s="60"/>
      <c r="H8" s="60"/>
      <c r="I8" s="60"/>
      <c r="J8" s="60"/>
      <c r="K8" s="60"/>
      <c r="L8" s="60"/>
      <c r="M8" s="60"/>
      <c r="N8" s="60"/>
      <c r="O8" s="60"/>
      <c r="P8" s="60"/>
      <c r="Q8" s="60"/>
      <c r="R8" s="60"/>
      <c r="S8" s="60"/>
      <c r="T8" s="60"/>
    </row>
    <row r="9" spans="1:20" s="4" customFormat="1" ht="10.199999999999999" x14ac:dyDescent="0.2">
      <c r="A9" s="57" t="s">
        <v>8</v>
      </c>
      <c r="B9" s="57"/>
      <c r="C9" s="57"/>
      <c r="D9" s="60">
        <v>72407552380</v>
      </c>
      <c r="E9" s="60"/>
      <c r="F9" s="60"/>
      <c r="G9" s="60"/>
      <c r="H9" s="60"/>
      <c r="I9" s="60"/>
      <c r="J9" s="60"/>
      <c r="K9" s="60"/>
      <c r="L9" s="60"/>
      <c r="M9" s="60"/>
      <c r="N9" s="60"/>
      <c r="O9" s="60"/>
      <c r="P9" s="60"/>
      <c r="Q9" s="60"/>
      <c r="R9" s="60"/>
      <c r="S9" s="60"/>
      <c r="T9" s="60"/>
    </row>
    <row r="10" spans="1:20" s="4" customFormat="1" ht="10.199999999999999" x14ac:dyDescent="0.2">
      <c r="A10" s="57" t="s">
        <v>9</v>
      </c>
      <c r="B10" s="57"/>
      <c r="C10" s="57"/>
      <c r="D10" s="60" t="s">
        <v>36</v>
      </c>
      <c r="E10" s="60"/>
      <c r="F10" s="60"/>
      <c r="G10" s="60"/>
      <c r="H10" s="60"/>
      <c r="I10" s="60"/>
      <c r="J10" s="60"/>
      <c r="K10" s="60"/>
      <c r="L10" s="60"/>
      <c r="M10" s="60"/>
      <c r="N10" s="60"/>
      <c r="O10" s="60"/>
      <c r="P10" s="60"/>
      <c r="Q10" s="60"/>
      <c r="R10" s="60"/>
      <c r="S10" s="60"/>
      <c r="T10" s="60"/>
    </row>
    <row r="11" spans="1:20" s="4" customFormat="1" ht="10.199999999999999" x14ac:dyDescent="0.2">
      <c r="A11" s="5"/>
      <c r="B11" s="7"/>
      <c r="C11" s="7"/>
      <c r="D11" s="9"/>
      <c r="E11" s="5"/>
      <c r="F11" s="5"/>
      <c r="G11" s="5"/>
      <c r="H11" s="5"/>
      <c r="I11" s="5"/>
      <c r="J11" s="5"/>
      <c r="K11" s="5"/>
      <c r="L11" s="5"/>
      <c r="M11" s="5"/>
      <c r="N11" s="5"/>
      <c r="O11" s="5"/>
      <c r="P11" s="5"/>
      <c r="Q11" s="5"/>
      <c r="R11" s="5"/>
      <c r="S11" s="5"/>
      <c r="T11" s="5"/>
    </row>
    <row r="12" spans="1:20" s="3" customFormat="1" ht="98.25" customHeight="1" x14ac:dyDescent="0.2">
      <c r="A12" s="6" t="s">
        <v>10</v>
      </c>
      <c r="B12" s="2" t="s">
        <v>11</v>
      </c>
      <c r="C12" s="2" t="s">
        <v>12</v>
      </c>
      <c r="D12" s="2" t="s">
        <v>13</v>
      </c>
      <c r="E12" s="2" t="s">
        <v>14</v>
      </c>
      <c r="F12" s="2" t="s">
        <v>15</v>
      </c>
      <c r="G12" s="2" t="s">
        <v>25</v>
      </c>
      <c r="H12" s="2" t="s">
        <v>26</v>
      </c>
      <c r="I12" s="2" t="s">
        <v>16</v>
      </c>
      <c r="J12" s="2" t="s">
        <v>17</v>
      </c>
      <c r="K12" s="2" t="s">
        <v>27</v>
      </c>
      <c r="L12" s="2" t="s">
        <v>28</v>
      </c>
      <c r="M12" s="2" t="s">
        <v>29</v>
      </c>
      <c r="N12" s="2" t="s">
        <v>23</v>
      </c>
      <c r="O12" s="2" t="s">
        <v>30</v>
      </c>
      <c r="P12" s="2" t="s">
        <v>31</v>
      </c>
      <c r="Q12" s="2" t="s">
        <v>18</v>
      </c>
      <c r="R12" s="2" t="s">
        <v>19</v>
      </c>
      <c r="S12" s="2" t="s">
        <v>20</v>
      </c>
      <c r="T12" s="2" t="s">
        <v>24</v>
      </c>
    </row>
    <row r="13" spans="1:20" s="3" customFormat="1" ht="30.6" x14ac:dyDescent="0.2">
      <c r="A13" s="11">
        <v>1</v>
      </c>
      <c r="B13" s="12" t="s">
        <v>160</v>
      </c>
      <c r="C13" s="13" t="s">
        <v>161</v>
      </c>
      <c r="D13" s="12" t="s">
        <v>162</v>
      </c>
      <c r="E13" s="14" t="s">
        <v>41</v>
      </c>
      <c r="F13" s="11" t="s">
        <v>42</v>
      </c>
      <c r="G13" s="15"/>
      <c r="H13" s="16">
        <v>1819.96</v>
      </c>
      <c r="I13" s="17" t="s">
        <v>42</v>
      </c>
      <c r="J13" s="17" t="s">
        <v>142</v>
      </c>
      <c r="K13" s="18"/>
      <c r="L13" s="19">
        <f>N13+P13</f>
        <v>1593.43</v>
      </c>
      <c r="M13" s="18"/>
      <c r="N13" s="19">
        <v>1593.43</v>
      </c>
      <c r="O13" s="18"/>
      <c r="P13" s="19"/>
      <c r="Q13" s="11"/>
      <c r="R13" s="12" t="s">
        <v>163</v>
      </c>
      <c r="S13" s="20"/>
      <c r="T13" s="21" t="s">
        <v>49</v>
      </c>
    </row>
    <row r="14" spans="1:20" s="3" customFormat="1" ht="40.799999999999997" x14ac:dyDescent="0.2">
      <c r="A14" s="11">
        <v>2</v>
      </c>
      <c r="B14" s="12" t="s">
        <v>183</v>
      </c>
      <c r="C14" s="13" t="s">
        <v>184</v>
      </c>
      <c r="D14" s="12" t="s">
        <v>185</v>
      </c>
      <c r="E14" s="14" t="s">
        <v>41</v>
      </c>
      <c r="F14" s="11" t="s">
        <v>96</v>
      </c>
      <c r="G14" s="15"/>
      <c r="H14" s="16"/>
      <c r="I14" s="17" t="s">
        <v>42</v>
      </c>
      <c r="J14" s="17" t="s">
        <v>158</v>
      </c>
      <c r="K14" s="18"/>
      <c r="L14" s="19">
        <f>N14+P14</f>
        <v>779141.99</v>
      </c>
      <c r="M14" s="18"/>
      <c r="N14" s="19">
        <f>690893.23+59251.51+22684.93+6312.32</f>
        <v>779141.99</v>
      </c>
      <c r="O14" s="18"/>
      <c r="P14" s="19"/>
      <c r="Q14" s="11" t="s">
        <v>186</v>
      </c>
      <c r="R14" s="12" t="s">
        <v>187</v>
      </c>
      <c r="S14" s="20"/>
      <c r="T14" s="21"/>
    </row>
    <row r="15" spans="1:20" s="3" customFormat="1" ht="30.6" x14ac:dyDescent="0.2">
      <c r="A15" s="11">
        <v>3</v>
      </c>
      <c r="B15" s="12" t="s">
        <v>188</v>
      </c>
      <c r="C15" s="13" t="s">
        <v>189</v>
      </c>
      <c r="D15" s="12" t="s">
        <v>190</v>
      </c>
      <c r="E15" s="14" t="s">
        <v>41</v>
      </c>
      <c r="F15" s="11" t="s">
        <v>42</v>
      </c>
      <c r="G15" s="15"/>
      <c r="H15" s="16">
        <v>359226.53</v>
      </c>
      <c r="I15" s="17" t="s">
        <v>42</v>
      </c>
      <c r="J15" s="17" t="s">
        <v>158</v>
      </c>
      <c r="K15" s="18"/>
      <c r="L15" s="19">
        <f>N15+P15</f>
        <v>597433.85</v>
      </c>
      <c r="M15" s="18"/>
      <c r="N15" s="19">
        <f>537506+59927.85</f>
        <v>597433.85</v>
      </c>
      <c r="O15" s="18"/>
      <c r="P15" s="19"/>
      <c r="Q15" s="11" t="s">
        <v>192</v>
      </c>
      <c r="R15" s="12" t="s">
        <v>191</v>
      </c>
      <c r="S15" s="20"/>
      <c r="T15" s="21" t="s">
        <v>49</v>
      </c>
    </row>
    <row r="16" spans="1:20" s="3" customFormat="1" ht="30.6" x14ac:dyDescent="0.2">
      <c r="A16" s="11">
        <v>4</v>
      </c>
      <c r="B16" s="12" t="s">
        <v>55</v>
      </c>
      <c r="C16" s="13" t="s">
        <v>56</v>
      </c>
      <c r="D16" s="12" t="s">
        <v>57</v>
      </c>
      <c r="E16" s="14" t="s">
        <v>41</v>
      </c>
      <c r="F16" s="11" t="s">
        <v>42</v>
      </c>
      <c r="G16" s="15"/>
      <c r="H16" s="16">
        <v>175.37</v>
      </c>
      <c r="I16" s="17" t="s">
        <v>42</v>
      </c>
      <c r="J16" s="17" t="s">
        <v>53</v>
      </c>
      <c r="K16" s="18"/>
      <c r="L16" s="19">
        <f t="shared" ref="L16:L41" si="0">N16+P16</f>
        <v>177.44</v>
      </c>
      <c r="M16" s="18"/>
      <c r="N16" s="19">
        <f>175.37+2.07</f>
        <v>177.44</v>
      </c>
      <c r="O16" s="18"/>
      <c r="P16" s="19"/>
      <c r="Q16" s="11"/>
      <c r="R16" s="12" t="s">
        <v>62</v>
      </c>
      <c r="S16" s="20"/>
      <c r="T16" s="21" t="s">
        <v>49</v>
      </c>
    </row>
    <row r="17" spans="1:20" s="3" customFormat="1" ht="30.6" x14ac:dyDescent="0.2">
      <c r="A17" s="11">
        <v>5</v>
      </c>
      <c r="B17" s="12" t="s">
        <v>50</v>
      </c>
      <c r="C17" s="13" t="s">
        <v>51</v>
      </c>
      <c r="D17" s="12" t="s">
        <v>52</v>
      </c>
      <c r="E17" s="14" t="s">
        <v>41</v>
      </c>
      <c r="F17" s="11" t="s">
        <v>42</v>
      </c>
      <c r="G17" s="15"/>
      <c r="H17" s="16">
        <f>1097.17+1144</f>
        <v>2241.17</v>
      </c>
      <c r="I17" s="17" t="s">
        <v>42</v>
      </c>
      <c r="J17" s="17" t="s">
        <v>53</v>
      </c>
      <c r="K17" s="18"/>
      <c r="L17" s="19">
        <f t="shared" si="0"/>
        <v>2299.14</v>
      </c>
      <c r="M17" s="18"/>
      <c r="N17" s="19">
        <f>2241.17+57.97</f>
        <v>2299.14</v>
      </c>
      <c r="O17" s="18"/>
      <c r="P17" s="19"/>
      <c r="Q17" s="11"/>
      <c r="R17" s="12" t="s">
        <v>54</v>
      </c>
      <c r="S17" s="17"/>
      <c r="T17" s="21" t="s">
        <v>49</v>
      </c>
    </row>
    <row r="18" spans="1:20" s="3" customFormat="1" ht="20.399999999999999" x14ac:dyDescent="0.2">
      <c r="A18" s="11">
        <v>6</v>
      </c>
      <c r="B18" s="12" t="s">
        <v>193</v>
      </c>
      <c r="C18" s="13" t="s">
        <v>194</v>
      </c>
      <c r="D18" s="12" t="s">
        <v>195</v>
      </c>
      <c r="E18" s="14" t="s">
        <v>41</v>
      </c>
      <c r="F18" s="11" t="s">
        <v>96</v>
      </c>
      <c r="G18" s="15"/>
      <c r="H18" s="16"/>
      <c r="I18" s="17" t="s">
        <v>42</v>
      </c>
      <c r="J18" s="17" t="s">
        <v>158</v>
      </c>
      <c r="K18" s="18"/>
      <c r="L18" s="19">
        <f>N18+P18</f>
        <v>47662.5</v>
      </c>
      <c r="M18" s="18"/>
      <c r="N18" s="19">
        <f>46500+1162.5</f>
        <v>47662.5</v>
      </c>
      <c r="O18" s="18"/>
      <c r="P18" s="19"/>
      <c r="Q18" s="11"/>
      <c r="R18" s="12" t="s">
        <v>197</v>
      </c>
      <c r="S18" s="17"/>
      <c r="T18" s="21"/>
    </row>
    <row r="19" spans="1:20" s="3" customFormat="1" ht="30.6" x14ac:dyDescent="0.2">
      <c r="A19" s="11">
        <v>7</v>
      </c>
      <c r="B19" s="12" t="s">
        <v>63</v>
      </c>
      <c r="C19" s="13" t="s">
        <v>64</v>
      </c>
      <c r="D19" s="12" t="s">
        <v>65</v>
      </c>
      <c r="E19" s="14" t="s">
        <v>41</v>
      </c>
      <c r="F19" s="11" t="s">
        <v>42</v>
      </c>
      <c r="G19" s="15"/>
      <c r="H19" s="16">
        <v>7689.62</v>
      </c>
      <c r="I19" s="17" t="s">
        <v>42</v>
      </c>
      <c r="J19" s="17" t="s">
        <v>75</v>
      </c>
      <c r="K19" s="18"/>
      <c r="L19" s="19">
        <f t="shared" si="0"/>
        <v>9408.0300000000007</v>
      </c>
      <c r="M19" s="18"/>
      <c r="N19" s="19">
        <f>6904.67+2503.36</f>
        <v>9408.0300000000007</v>
      </c>
      <c r="O19" s="18"/>
      <c r="P19" s="19"/>
      <c r="Q19" s="11"/>
      <c r="R19" s="12"/>
      <c r="S19" s="17"/>
      <c r="T19" s="21" t="s">
        <v>49</v>
      </c>
    </row>
    <row r="20" spans="1:20" s="3" customFormat="1" ht="30.6" x14ac:dyDescent="0.2">
      <c r="A20" s="11">
        <v>8</v>
      </c>
      <c r="B20" s="12" t="s">
        <v>155</v>
      </c>
      <c r="C20" s="13" t="s">
        <v>156</v>
      </c>
      <c r="D20" s="12" t="s">
        <v>157</v>
      </c>
      <c r="E20" s="14" t="s">
        <v>41</v>
      </c>
      <c r="F20" s="11" t="s">
        <v>96</v>
      </c>
      <c r="G20" s="15"/>
      <c r="H20" s="16"/>
      <c r="I20" s="17" t="s">
        <v>42</v>
      </c>
      <c r="J20" s="17" t="s">
        <v>158</v>
      </c>
      <c r="K20" s="18"/>
      <c r="L20" s="19">
        <f t="shared" ref="L20:L29" si="1">N20+P20</f>
        <v>17929.66</v>
      </c>
      <c r="M20" s="18"/>
      <c r="N20" s="19">
        <f>5963.57+3001.26</f>
        <v>8964.83</v>
      </c>
      <c r="O20" s="18"/>
      <c r="P20" s="19">
        <v>8964.83</v>
      </c>
      <c r="Q20" s="11"/>
      <c r="R20" s="12" t="s">
        <v>159</v>
      </c>
      <c r="S20" s="17"/>
      <c r="T20" s="21"/>
    </row>
    <row r="21" spans="1:20" s="3" customFormat="1" ht="30.6" x14ac:dyDescent="0.2">
      <c r="A21" s="11">
        <v>9</v>
      </c>
      <c r="B21" s="12" t="s">
        <v>285</v>
      </c>
      <c r="C21" s="13" t="s">
        <v>286</v>
      </c>
      <c r="D21" s="12" t="s">
        <v>287</v>
      </c>
      <c r="E21" s="14" t="s">
        <v>41</v>
      </c>
      <c r="F21" s="11" t="s">
        <v>42</v>
      </c>
      <c r="G21" s="15"/>
      <c r="H21" s="16">
        <v>807.65</v>
      </c>
      <c r="I21" s="17" t="s">
        <v>42</v>
      </c>
      <c r="J21" s="17" t="s">
        <v>288</v>
      </c>
      <c r="K21" s="18"/>
      <c r="L21" s="19">
        <f>N21+P21</f>
        <v>1017.2599999999999</v>
      </c>
      <c r="M21" s="18"/>
      <c r="N21" s="19">
        <f>898.67+22.06</f>
        <v>920.7299999999999</v>
      </c>
      <c r="O21" s="18"/>
      <c r="P21" s="19">
        <v>96.53</v>
      </c>
      <c r="Q21" s="11"/>
      <c r="R21" s="12" t="s">
        <v>289</v>
      </c>
      <c r="S21" s="17"/>
      <c r="T21" s="21" t="s">
        <v>49</v>
      </c>
    </row>
    <row r="22" spans="1:20" s="3" customFormat="1" ht="30.6" x14ac:dyDescent="0.2">
      <c r="A22" s="11">
        <v>10</v>
      </c>
      <c r="B22" s="12" t="s">
        <v>230</v>
      </c>
      <c r="C22" s="13" t="s">
        <v>231</v>
      </c>
      <c r="D22" s="12" t="s">
        <v>232</v>
      </c>
      <c r="E22" s="14" t="s">
        <v>41</v>
      </c>
      <c r="F22" s="11" t="s">
        <v>42</v>
      </c>
      <c r="G22" s="15"/>
      <c r="H22" s="16">
        <v>567.87</v>
      </c>
      <c r="I22" s="17" t="s">
        <v>42</v>
      </c>
      <c r="J22" s="17" t="s">
        <v>196</v>
      </c>
      <c r="K22" s="18"/>
      <c r="L22" s="19">
        <f t="shared" si="1"/>
        <v>1135.74</v>
      </c>
      <c r="M22" s="18"/>
      <c r="N22" s="19">
        <v>567.87</v>
      </c>
      <c r="O22" s="18"/>
      <c r="P22" s="19">
        <v>567.87</v>
      </c>
      <c r="Q22" s="11"/>
      <c r="R22" s="12"/>
      <c r="S22" s="17"/>
      <c r="T22" s="21" t="s">
        <v>49</v>
      </c>
    </row>
    <row r="23" spans="1:20" s="3" customFormat="1" ht="30.6" x14ac:dyDescent="0.2">
      <c r="A23" s="11">
        <v>11</v>
      </c>
      <c r="B23" s="12" t="s">
        <v>202</v>
      </c>
      <c r="C23" s="13" t="s">
        <v>203</v>
      </c>
      <c r="D23" s="12" t="s">
        <v>204</v>
      </c>
      <c r="E23" s="14" t="s">
        <v>41</v>
      </c>
      <c r="F23" s="11" t="s">
        <v>42</v>
      </c>
      <c r="G23" s="15"/>
      <c r="H23" s="16">
        <v>4753.6400000000003</v>
      </c>
      <c r="I23" s="17" t="s">
        <v>42</v>
      </c>
      <c r="J23" s="17" t="s">
        <v>167</v>
      </c>
      <c r="K23" s="18"/>
      <c r="L23" s="19">
        <f t="shared" si="1"/>
        <v>13197.85</v>
      </c>
      <c r="M23" s="18"/>
      <c r="N23" s="19">
        <v>955.17</v>
      </c>
      <c r="O23" s="18"/>
      <c r="P23" s="19">
        <v>12242.68</v>
      </c>
      <c r="Q23" s="11" t="s">
        <v>205</v>
      </c>
      <c r="R23" s="12" t="s">
        <v>206</v>
      </c>
      <c r="S23" s="17"/>
      <c r="T23" s="21" t="s">
        <v>49</v>
      </c>
    </row>
    <row r="24" spans="1:20" s="3" customFormat="1" ht="61.2" customHeight="1" x14ac:dyDescent="0.2">
      <c r="A24" s="11">
        <v>12</v>
      </c>
      <c r="B24" s="12" t="s">
        <v>170</v>
      </c>
      <c r="C24" s="13" t="s">
        <v>171</v>
      </c>
      <c r="D24" s="12" t="s">
        <v>172</v>
      </c>
      <c r="E24" s="14" t="s">
        <v>41</v>
      </c>
      <c r="F24" s="11" t="s">
        <v>96</v>
      </c>
      <c r="G24" s="15"/>
      <c r="H24" s="16"/>
      <c r="I24" s="17" t="s">
        <v>42</v>
      </c>
      <c r="J24" s="17" t="s">
        <v>142</v>
      </c>
      <c r="K24" s="18"/>
      <c r="L24" s="19">
        <f t="shared" si="1"/>
        <v>143108.76999999999</v>
      </c>
      <c r="M24" s="18"/>
      <c r="N24" s="19">
        <v>95527.679999999993</v>
      </c>
      <c r="O24" s="18"/>
      <c r="P24" s="19">
        <v>47581.09</v>
      </c>
      <c r="Q24" s="11" t="s">
        <v>173</v>
      </c>
      <c r="R24" s="12" t="s">
        <v>175</v>
      </c>
      <c r="S24" s="17"/>
      <c r="T24" s="21" t="s">
        <v>174</v>
      </c>
    </row>
    <row r="25" spans="1:20" s="3" customFormat="1" ht="30.6" x14ac:dyDescent="0.2">
      <c r="A25" s="11">
        <v>13</v>
      </c>
      <c r="B25" s="12" t="s">
        <v>246</v>
      </c>
      <c r="C25" s="13" t="s">
        <v>247</v>
      </c>
      <c r="D25" s="12" t="s">
        <v>248</v>
      </c>
      <c r="E25" s="14" t="s">
        <v>41</v>
      </c>
      <c r="F25" s="11" t="s">
        <v>42</v>
      </c>
      <c r="G25" s="15"/>
      <c r="H25" s="16">
        <v>52336.99</v>
      </c>
      <c r="I25" s="17" t="s">
        <v>42</v>
      </c>
      <c r="J25" s="17" t="s">
        <v>196</v>
      </c>
      <c r="K25" s="18"/>
      <c r="L25" s="19">
        <f t="shared" si="1"/>
        <v>51946.720000000001</v>
      </c>
      <c r="M25" s="18"/>
      <c r="N25" s="19">
        <f>50835.48+1111.24</f>
        <v>51946.720000000001</v>
      </c>
      <c r="O25" s="18"/>
      <c r="P25" s="19"/>
      <c r="Q25" s="11" t="s">
        <v>249</v>
      </c>
      <c r="R25" s="12" t="s">
        <v>250</v>
      </c>
      <c r="S25" s="17"/>
      <c r="T25" s="21" t="s">
        <v>49</v>
      </c>
    </row>
    <row r="26" spans="1:20" s="3" customFormat="1" ht="30.6" x14ac:dyDescent="0.2">
      <c r="A26" s="11">
        <v>14</v>
      </c>
      <c r="B26" s="12" t="s">
        <v>241</v>
      </c>
      <c r="C26" s="13" t="s">
        <v>242</v>
      </c>
      <c r="D26" s="12" t="s">
        <v>243</v>
      </c>
      <c r="E26" s="14" t="s">
        <v>41</v>
      </c>
      <c r="F26" s="11" t="s">
        <v>42</v>
      </c>
      <c r="G26" s="15"/>
      <c r="H26" s="16">
        <v>4153.55</v>
      </c>
      <c r="I26" s="17" t="s">
        <v>42</v>
      </c>
      <c r="J26" s="17" t="s">
        <v>158</v>
      </c>
      <c r="K26" s="18"/>
      <c r="L26" s="19">
        <f t="shared" si="1"/>
        <v>54691.73</v>
      </c>
      <c r="M26" s="18"/>
      <c r="N26" s="19">
        <f>54135.55+556.18</f>
        <v>54691.73</v>
      </c>
      <c r="O26" s="18"/>
      <c r="P26" s="19"/>
      <c r="Q26" s="11" t="s">
        <v>244</v>
      </c>
      <c r="R26" s="12" t="s">
        <v>245</v>
      </c>
      <c r="S26" s="17"/>
      <c r="T26" s="21" t="s">
        <v>49</v>
      </c>
    </row>
    <row r="27" spans="1:20" s="3" customFormat="1" ht="30.6" x14ac:dyDescent="0.2">
      <c r="A27" s="11">
        <v>15</v>
      </c>
      <c r="B27" s="12" t="s">
        <v>290</v>
      </c>
      <c r="C27" s="13" t="s">
        <v>291</v>
      </c>
      <c r="D27" s="12" t="s">
        <v>292</v>
      </c>
      <c r="E27" s="14" t="s">
        <v>41</v>
      </c>
      <c r="F27" s="11" t="s">
        <v>96</v>
      </c>
      <c r="G27" s="15"/>
      <c r="H27" s="16"/>
      <c r="I27" s="17" t="s">
        <v>42</v>
      </c>
      <c r="J27" s="17" t="s">
        <v>288</v>
      </c>
      <c r="K27" s="18"/>
      <c r="L27" s="19">
        <f>N27+P27</f>
        <v>3160.53</v>
      </c>
      <c r="M27" s="18"/>
      <c r="N27" s="19">
        <v>3160.53</v>
      </c>
      <c r="O27" s="18"/>
      <c r="P27" s="19"/>
      <c r="Q27" s="11"/>
      <c r="R27" s="12"/>
      <c r="S27" s="17"/>
      <c r="T27" s="21"/>
    </row>
    <row r="28" spans="1:20" s="3" customFormat="1" ht="30.6" x14ac:dyDescent="0.2">
      <c r="A28" s="11">
        <v>16</v>
      </c>
      <c r="B28" s="12" t="s">
        <v>237</v>
      </c>
      <c r="C28" s="13" t="s">
        <v>238</v>
      </c>
      <c r="D28" s="12" t="s">
        <v>239</v>
      </c>
      <c r="E28" s="14" t="s">
        <v>41</v>
      </c>
      <c r="F28" s="11" t="s">
        <v>42</v>
      </c>
      <c r="G28" s="15"/>
      <c r="H28" s="16">
        <v>0.01</v>
      </c>
      <c r="I28" s="17" t="s">
        <v>42</v>
      </c>
      <c r="J28" s="17" t="s">
        <v>196</v>
      </c>
      <c r="K28" s="18"/>
      <c r="L28" s="19">
        <f t="shared" si="1"/>
        <v>265.48</v>
      </c>
      <c r="M28" s="18"/>
      <c r="N28" s="19">
        <v>265.48</v>
      </c>
      <c r="O28" s="18"/>
      <c r="P28" s="19"/>
      <c r="Q28" s="11"/>
      <c r="R28" s="12" t="s">
        <v>240</v>
      </c>
      <c r="S28" s="17"/>
      <c r="T28" s="21" t="s">
        <v>49</v>
      </c>
    </row>
    <row r="29" spans="1:20" s="3" customFormat="1" ht="60.6" customHeight="1" x14ac:dyDescent="0.2">
      <c r="A29" s="11">
        <v>17</v>
      </c>
      <c r="B29" s="12" t="s">
        <v>114</v>
      </c>
      <c r="C29" s="13" t="s">
        <v>115</v>
      </c>
      <c r="D29" s="12" t="s">
        <v>116</v>
      </c>
      <c r="E29" s="14" t="s">
        <v>41</v>
      </c>
      <c r="F29" s="11" t="s">
        <v>96</v>
      </c>
      <c r="G29" s="15"/>
      <c r="H29" s="16"/>
      <c r="I29" s="17" t="s">
        <v>42</v>
      </c>
      <c r="J29" s="17" t="s">
        <v>91</v>
      </c>
      <c r="K29" s="18"/>
      <c r="L29" s="19">
        <f t="shared" si="1"/>
        <v>24.16</v>
      </c>
      <c r="M29" s="18"/>
      <c r="N29" s="19">
        <f>23.79+0.37</f>
        <v>24.16</v>
      </c>
      <c r="O29" s="18"/>
      <c r="P29" s="19"/>
      <c r="Q29" s="11" t="s">
        <v>117</v>
      </c>
      <c r="R29" s="12" t="s">
        <v>296</v>
      </c>
      <c r="S29" s="17"/>
      <c r="T29" s="21" t="s">
        <v>49</v>
      </c>
    </row>
    <row r="30" spans="1:20" s="3" customFormat="1" ht="30.6" x14ac:dyDescent="0.2">
      <c r="A30" s="11">
        <v>18</v>
      </c>
      <c r="B30" s="12" t="s">
        <v>281</v>
      </c>
      <c r="C30" s="13" t="s">
        <v>282</v>
      </c>
      <c r="D30" s="12" t="s">
        <v>283</v>
      </c>
      <c r="E30" s="14" t="s">
        <v>41</v>
      </c>
      <c r="F30" s="11" t="s">
        <v>42</v>
      </c>
      <c r="G30" s="15"/>
      <c r="H30" s="16">
        <v>1426.98</v>
      </c>
      <c r="I30" s="17" t="s">
        <v>42</v>
      </c>
      <c r="J30" s="17" t="s">
        <v>264</v>
      </c>
      <c r="K30" s="18"/>
      <c r="L30" s="19">
        <f>N30+P30</f>
        <v>1426.98</v>
      </c>
      <c r="M30" s="18"/>
      <c r="N30" s="19">
        <v>1426.98</v>
      </c>
      <c r="O30" s="18"/>
      <c r="P30" s="19"/>
      <c r="Q30" s="11"/>
      <c r="R30" s="12" t="s">
        <v>284</v>
      </c>
      <c r="S30" s="17"/>
      <c r="T30" s="21" t="s">
        <v>49</v>
      </c>
    </row>
    <row r="31" spans="1:20" s="3" customFormat="1" ht="30.6" x14ac:dyDescent="0.2">
      <c r="A31" s="11">
        <v>19</v>
      </c>
      <c r="B31" s="12" t="s">
        <v>58</v>
      </c>
      <c r="C31" s="13" t="s">
        <v>59</v>
      </c>
      <c r="D31" s="12" t="s">
        <v>60</v>
      </c>
      <c r="E31" s="14" t="s">
        <v>41</v>
      </c>
      <c r="F31" s="11" t="s">
        <v>42</v>
      </c>
      <c r="G31" s="15"/>
      <c r="H31" s="16">
        <v>1075.31</v>
      </c>
      <c r="I31" s="17" t="s">
        <v>42</v>
      </c>
      <c r="J31" s="17" t="s">
        <v>61</v>
      </c>
      <c r="K31" s="18"/>
      <c r="L31" s="19">
        <f t="shared" si="0"/>
        <v>1107.8699999999999</v>
      </c>
      <c r="M31" s="18"/>
      <c r="N31" s="19">
        <f>1075.31+32.56</f>
        <v>1107.8699999999999</v>
      </c>
      <c r="O31" s="18"/>
      <c r="P31" s="19"/>
      <c r="Q31" s="11"/>
      <c r="R31" s="12"/>
      <c r="S31" s="17"/>
      <c r="T31" s="21" t="s">
        <v>49</v>
      </c>
    </row>
    <row r="32" spans="1:20" s="3" customFormat="1" ht="51" x14ac:dyDescent="0.2">
      <c r="A32" s="11">
        <v>20</v>
      </c>
      <c r="B32" s="12" t="s">
        <v>149</v>
      </c>
      <c r="C32" s="13" t="s">
        <v>150</v>
      </c>
      <c r="D32" s="12" t="s">
        <v>154</v>
      </c>
      <c r="E32" s="14" t="s">
        <v>41</v>
      </c>
      <c r="F32" s="11" t="s">
        <v>42</v>
      </c>
      <c r="G32" s="15"/>
      <c r="H32" s="22" t="s">
        <v>151</v>
      </c>
      <c r="I32" s="17" t="s">
        <v>42</v>
      </c>
      <c r="J32" s="17" t="s">
        <v>142</v>
      </c>
      <c r="K32" s="18"/>
      <c r="L32" s="19">
        <f>N32+P32</f>
        <v>885.47</v>
      </c>
      <c r="M32" s="18"/>
      <c r="N32" s="19">
        <f>725.95+5.12</f>
        <v>731.07</v>
      </c>
      <c r="O32" s="18"/>
      <c r="P32" s="19">
        <v>154.4</v>
      </c>
      <c r="Q32" s="11" t="s">
        <v>153</v>
      </c>
      <c r="R32" s="12" t="s">
        <v>294</v>
      </c>
      <c r="S32" s="17"/>
      <c r="T32" s="21" t="s">
        <v>152</v>
      </c>
    </row>
    <row r="33" spans="1:20" ht="30.6" x14ac:dyDescent="0.25">
      <c r="A33" s="11">
        <v>21</v>
      </c>
      <c r="B33" s="12" t="s">
        <v>38</v>
      </c>
      <c r="C33" s="13" t="s">
        <v>39</v>
      </c>
      <c r="D33" s="12" t="s">
        <v>40</v>
      </c>
      <c r="E33" s="14" t="s">
        <v>41</v>
      </c>
      <c r="F33" s="11" t="s">
        <v>42</v>
      </c>
      <c r="G33" s="15"/>
      <c r="H33" s="16">
        <v>175</v>
      </c>
      <c r="I33" s="17" t="s">
        <v>42</v>
      </c>
      <c r="J33" s="17" t="s">
        <v>43</v>
      </c>
      <c r="K33" s="18"/>
      <c r="L33" s="19">
        <f t="shared" si="0"/>
        <v>175</v>
      </c>
      <c r="M33" s="18"/>
      <c r="N33" s="19">
        <v>175</v>
      </c>
      <c r="O33" s="18"/>
      <c r="P33" s="19"/>
      <c r="Q33" s="11" t="s">
        <v>44</v>
      </c>
      <c r="R33" s="12" t="s">
        <v>297</v>
      </c>
      <c r="S33" s="17"/>
      <c r="T33" s="21" t="s">
        <v>49</v>
      </c>
    </row>
    <row r="34" spans="1:20" ht="30.6" x14ac:dyDescent="0.25">
      <c r="A34" s="11">
        <v>22</v>
      </c>
      <c r="B34" s="12" t="s">
        <v>45</v>
      </c>
      <c r="C34" s="13" t="s">
        <v>46</v>
      </c>
      <c r="D34" s="12" t="s">
        <v>47</v>
      </c>
      <c r="E34" s="14" t="s">
        <v>41</v>
      </c>
      <c r="F34" s="11" t="s">
        <v>42</v>
      </c>
      <c r="G34" s="15"/>
      <c r="H34" s="16">
        <v>1867.49</v>
      </c>
      <c r="I34" s="17" t="s">
        <v>42</v>
      </c>
      <c r="J34" s="17" t="s">
        <v>43</v>
      </c>
      <c r="K34" s="18"/>
      <c r="L34" s="19">
        <f t="shared" si="0"/>
        <v>1867.49</v>
      </c>
      <c r="M34" s="18"/>
      <c r="N34" s="19">
        <v>1867.49</v>
      </c>
      <c r="O34" s="18"/>
      <c r="P34" s="19"/>
      <c r="Q34" s="17"/>
      <c r="R34" s="23" t="s">
        <v>48</v>
      </c>
      <c r="S34" s="17"/>
      <c r="T34" s="21" t="s">
        <v>49</v>
      </c>
    </row>
    <row r="35" spans="1:20" ht="30.6" x14ac:dyDescent="0.25">
      <c r="A35" s="11">
        <v>23</v>
      </c>
      <c r="B35" s="12" t="s">
        <v>233</v>
      </c>
      <c r="C35" s="13" t="s">
        <v>234</v>
      </c>
      <c r="D35" s="12" t="s">
        <v>235</v>
      </c>
      <c r="E35" s="14" t="s">
        <v>41</v>
      </c>
      <c r="F35" s="11" t="s">
        <v>42</v>
      </c>
      <c r="G35" s="15"/>
      <c r="H35" s="16">
        <v>706.3</v>
      </c>
      <c r="I35" s="17" t="s">
        <v>42</v>
      </c>
      <c r="J35" s="17" t="s">
        <v>158</v>
      </c>
      <c r="K35" s="18"/>
      <c r="L35" s="19">
        <f>N35+P35</f>
        <v>722.03</v>
      </c>
      <c r="M35" s="18"/>
      <c r="N35" s="19">
        <f>706.3+15.73</f>
        <v>722.03</v>
      </c>
      <c r="O35" s="18"/>
      <c r="P35" s="19"/>
      <c r="Q35" s="17"/>
      <c r="R35" s="23" t="s">
        <v>236</v>
      </c>
      <c r="S35" s="17"/>
      <c r="T35" s="21" t="s">
        <v>49</v>
      </c>
    </row>
    <row r="36" spans="1:20" ht="30.6" x14ac:dyDescent="0.25">
      <c r="A36" s="11">
        <v>24</v>
      </c>
      <c r="B36" s="12" t="s">
        <v>118</v>
      </c>
      <c r="C36" s="13" t="s">
        <v>119</v>
      </c>
      <c r="D36" s="12" t="s">
        <v>120</v>
      </c>
      <c r="E36" s="14" t="s">
        <v>41</v>
      </c>
      <c r="F36" s="11" t="s">
        <v>42</v>
      </c>
      <c r="G36" s="15"/>
      <c r="H36" s="16">
        <v>1313.41</v>
      </c>
      <c r="I36" s="17" t="s">
        <v>42</v>
      </c>
      <c r="J36" s="17" t="s">
        <v>97</v>
      </c>
      <c r="K36" s="18"/>
      <c r="L36" s="19">
        <f>N36+P36</f>
        <v>265.41000000000003</v>
      </c>
      <c r="M36" s="18"/>
      <c r="N36" s="19"/>
      <c r="O36" s="18"/>
      <c r="P36" s="19">
        <v>265.41000000000003</v>
      </c>
      <c r="Q36" s="17"/>
      <c r="R36" s="23"/>
      <c r="S36" s="17"/>
      <c r="T36" s="21" t="s">
        <v>49</v>
      </c>
    </row>
    <row r="37" spans="1:20" ht="30.6" x14ac:dyDescent="0.25">
      <c r="A37" s="11">
        <v>25</v>
      </c>
      <c r="B37" s="12" t="s">
        <v>72</v>
      </c>
      <c r="C37" s="13" t="s">
        <v>73</v>
      </c>
      <c r="D37" s="12" t="s">
        <v>74</v>
      </c>
      <c r="E37" s="14" t="s">
        <v>41</v>
      </c>
      <c r="F37" s="11" t="s">
        <v>42</v>
      </c>
      <c r="G37" s="15"/>
      <c r="H37" s="16">
        <v>74.34</v>
      </c>
      <c r="I37" s="17" t="s">
        <v>42</v>
      </c>
      <c r="J37" s="17" t="s">
        <v>75</v>
      </c>
      <c r="K37" s="18"/>
      <c r="L37" s="19">
        <f t="shared" si="0"/>
        <v>54.45</v>
      </c>
      <c r="M37" s="18"/>
      <c r="N37" s="19">
        <f>53.1+1.35</f>
        <v>54.45</v>
      </c>
      <c r="O37" s="18"/>
      <c r="P37" s="19"/>
      <c r="Q37" s="17"/>
      <c r="R37" s="23" t="s">
        <v>82</v>
      </c>
      <c r="S37" s="17"/>
      <c r="T37" s="21" t="s">
        <v>49</v>
      </c>
    </row>
    <row r="38" spans="1:20" ht="30.6" x14ac:dyDescent="0.25">
      <c r="A38" s="11">
        <v>26</v>
      </c>
      <c r="B38" s="12" t="s">
        <v>251</v>
      </c>
      <c r="C38" s="13" t="s">
        <v>252</v>
      </c>
      <c r="D38" s="12" t="s">
        <v>253</v>
      </c>
      <c r="E38" s="14" t="s">
        <v>41</v>
      </c>
      <c r="F38" s="11" t="s">
        <v>42</v>
      </c>
      <c r="G38" s="15"/>
      <c r="H38" s="16">
        <v>436.07</v>
      </c>
      <c r="I38" s="17" t="s">
        <v>42</v>
      </c>
      <c r="J38" s="17" t="s">
        <v>254</v>
      </c>
      <c r="K38" s="18"/>
      <c r="L38" s="19">
        <f>N38+P38</f>
        <v>414.5</v>
      </c>
      <c r="M38" s="18"/>
      <c r="N38" s="19">
        <v>414.5</v>
      </c>
      <c r="O38" s="18"/>
      <c r="P38" s="19"/>
      <c r="Q38" s="17"/>
      <c r="R38" s="23"/>
      <c r="S38" s="17"/>
      <c r="T38" s="21" t="s">
        <v>49</v>
      </c>
    </row>
    <row r="39" spans="1:20" ht="30.6" x14ac:dyDescent="0.25">
      <c r="A39" s="11">
        <v>27</v>
      </c>
      <c r="B39" s="12" t="s">
        <v>216</v>
      </c>
      <c r="C39" s="13" t="s">
        <v>217</v>
      </c>
      <c r="D39" s="12" t="s">
        <v>218</v>
      </c>
      <c r="E39" s="14" t="s">
        <v>41</v>
      </c>
      <c r="F39" s="11" t="s">
        <v>42</v>
      </c>
      <c r="G39" s="15"/>
      <c r="H39" s="16">
        <v>227</v>
      </c>
      <c r="I39" s="17" t="s">
        <v>42</v>
      </c>
      <c r="J39" s="17" t="s">
        <v>167</v>
      </c>
      <c r="K39" s="18"/>
      <c r="L39" s="19">
        <f>N39+P39</f>
        <v>227.71</v>
      </c>
      <c r="M39" s="18"/>
      <c r="N39" s="19">
        <f>227+0.71</f>
        <v>227.71</v>
      </c>
      <c r="O39" s="18"/>
      <c r="P39" s="19"/>
      <c r="Q39" s="17"/>
      <c r="R39" s="21" t="s">
        <v>219</v>
      </c>
      <c r="S39" s="17"/>
      <c r="T39" s="21" t="s">
        <v>49</v>
      </c>
    </row>
    <row r="40" spans="1:20" ht="30.6" x14ac:dyDescent="0.25">
      <c r="A40" s="11">
        <v>28</v>
      </c>
      <c r="B40" s="24" t="s">
        <v>132</v>
      </c>
      <c r="C40" s="25" t="s">
        <v>133</v>
      </c>
      <c r="D40" s="24" t="s">
        <v>134</v>
      </c>
      <c r="E40" s="14" t="s">
        <v>41</v>
      </c>
      <c r="F40" s="26" t="s">
        <v>42</v>
      </c>
      <c r="G40" s="27"/>
      <c r="H40" s="28">
        <v>238.88</v>
      </c>
      <c r="I40" s="29" t="s">
        <v>42</v>
      </c>
      <c r="J40" s="29" t="s">
        <v>80</v>
      </c>
      <c r="K40" s="18"/>
      <c r="L40" s="19">
        <f>N40+P40</f>
        <v>158.06</v>
      </c>
      <c r="M40" s="18"/>
      <c r="N40" s="19">
        <v>158.06</v>
      </c>
      <c r="O40" s="18"/>
      <c r="P40" s="19"/>
      <c r="Q40" s="17"/>
      <c r="R40" s="23"/>
      <c r="S40" s="17"/>
      <c r="T40" s="21" t="s">
        <v>49</v>
      </c>
    </row>
    <row r="41" spans="1:20" ht="45" customHeight="1" x14ac:dyDescent="0.25">
      <c r="A41" s="37">
        <v>29</v>
      </c>
      <c r="B41" s="46" t="s">
        <v>66</v>
      </c>
      <c r="C41" s="49" t="s">
        <v>67</v>
      </c>
      <c r="D41" s="46" t="s">
        <v>68</v>
      </c>
      <c r="E41" s="14" t="s">
        <v>41</v>
      </c>
      <c r="F41" s="37" t="s">
        <v>42</v>
      </c>
      <c r="G41" s="40"/>
      <c r="H41" s="55">
        <v>2629.25</v>
      </c>
      <c r="I41" s="43" t="s">
        <v>42</v>
      </c>
      <c r="J41" s="43" t="s">
        <v>75</v>
      </c>
      <c r="K41" s="18"/>
      <c r="L41" s="19">
        <f t="shared" si="0"/>
        <v>3495.77</v>
      </c>
      <c r="M41" s="18"/>
      <c r="N41" s="19">
        <f>3455.37+40.4</f>
        <v>3495.77</v>
      </c>
      <c r="O41" s="18"/>
      <c r="P41" s="19"/>
      <c r="Q41" s="11" t="s">
        <v>77</v>
      </c>
      <c r="R41" s="12" t="s">
        <v>76</v>
      </c>
      <c r="S41" s="17"/>
      <c r="T41" s="52" t="s">
        <v>49</v>
      </c>
    </row>
    <row r="42" spans="1:20" ht="20.399999999999999" x14ac:dyDescent="0.25">
      <c r="A42" s="39"/>
      <c r="B42" s="48"/>
      <c r="C42" s="51"/>
      <c r="D42" s="48"/>
      <c r="E42" s="14" t="s">
        <v>78</v>
      </c>
      <c r="F42" s="39"/>
      <c r="G42" s="42"/>
      <c r="H42" s="56"/>
      <c r="I42" s="45"/>
      <c r="J42" s="45"/>
      <c r="K42" s="18"/>
      <c r="L42" s="19"/>
      <c r="M42" s="18"/>
      <c r="N42" s="19"/>
      <c r="O42" s="18"/>
      <c r="P42" s="19"/>
      <c r="Q42" s="11"/>
      <c r="R42" s="12" t="s">
        <v>76</v>
      </c>
      <c r="S42" s="21" t="s">
        <v>79</v>
      </c>
      <c r="T42" s="54"/>
    </row>
    <row r="43" spans="1:20" ht="34.200000000000003" customHeight="1" x14ac:dyDescent="0.25">
      <c r="A43" s="11">
        <v>30</v>
      </c>
      <c r="B43" s="12" t="s">
        <v>220</v>
      </c>
      <c r="C43" s="13" t="s">
        <v>222</v>
      </c>
      <c r="D43" s="12" t="s">
        <v>221</v>
      </c>
      <c r="E43" s="14" t="s">
        <v>41</v>
      </c>
      <c r="F43" s="11" t="s">
        <v>42</v>
      </c>
      <c r="G43" s="30"/>
      <c r="H43" s="16">
        <v>2600.9699999999998</v>
      </c>
      <c r="I43" s="17" t="s">
        <v>42</v>
      </c>
      <c r="J43" s="17" t="s">
        <v>158</v>
      </c>
      <c r="K43" s="18"/>
      <c r="L43" s="19">
        <f>N43+P43</f>
        <v>2630.35</v>
      </c>
      <c r="M43" s="18"/>
      <c r="N43" s="19">
        <f>2600.97+29.38</f>
        <v>2630.35</v>
      </c>
      <c r="O43" s="18"/>
      <c r="P43" s="19"/>
      <c r="Q43" s="11" t="s">
        <v>223</v>
      </c>
      <c r="R43" s="12" t="s">
        <v>224</v>
      </c>
      <c r="S43" s="21"/>
      <c r="T43" s="21" t="s">
        <v>49</v>
      </c>
    </row>
    <row r="44" spans="1:20" ht="34.200000000000003" customHeight="1" x14ac:dyDescent="0.25">
      <c r="A44" s="37">
        <v>31</v>
      </c>
      <c r="B44" s="46" t="s">
        <v>261</v>
      </c>
      <c r="C44" s="49" t="s">
        <v>262</v>
      </c>
      <c r="D44" s="49" t="s">
        <v>263</v>
      </c>
      <c r="E44" s="52" t="s">
        <v>41</v>
      </c>
      <c r="F44" s="37" t="s">
        <v>96</v>
      </c>
      <c r="G44" s="40"/>
      <c r="H44" s="31"/>
      <c r="I44" s="43" t="s">
        <v>42</v>
      </c>
      <c r="J44" s="43" t="s">
        <v>264</v>
      </c>
      <c r="K44" s="34"/>
      <c r="L44" s="31">
        <f>N44+P44+N45+P45+N46+P46+N47+P47+N48+P48+N49+P49+N50+P50</f>
        <v>1982228.4</v>
      </c>
      <c r="M44" s="18"/>
      <c r="N44" s="19">
        <f>33333.34+1668.06+6.64</f>
        <v>35008.039999999994</v>
      </c>
      <c r="O44" s="18"/>
      <c r="P44" s="19">
        <v>299999.90000000002</v>
      </c>
      <c r="Q44" s="11" t="s">
        <v>266</v>
      </c>
      <c r="R44" s="12" t="s">
        <v>265</v>
      </c>
      <c r="S44" s="21"/>
      <c r="T44" s="21"/>
    </row>
    <row r="45" spans="1:20" ht="34.200000000000003" customHeight="1" x14ac:dyDescent="0.25">
      <c r="A45" s="38"/>
      <c r="B45" s="47"/>
      <c r="C45" s="50"/>
      <c r="D45" s="50"/>
      <c r="E45" s="53"/>
      <c r="F45" s="38"/>
      <c r="G45" s="41"/>
      <c r="H45" s="32"/>
      <c r="I45" s="44"/>
      <c r="J45" s="44"/>
      <c r="K45" s="35"/>
      <c r="L45" s="32"/>
      <c r="M45" s="18"/>
      <c r="N45" s="19">
        <f>13250.01+3157.66+15.93</f>
        <v>16423.599999999999</v>
      </c>
      <c r="O45" s="18"/>
      <c r="P45" s="19">
        <v>216416.63</v>
      </c>
      <c r="Q45" s="11" t="s">
        <v>267</v>
      </c>
      <c r="R45" s="12" t="s">
        <v>268</v>
      </c>
      <c r="S45" s="21"/>
      <c r="T45" s="21"/>
    </row>
    <row r="46" spans="1:20" ht="34.200000000000003" customHeight="1" x14ac:dyDescent="0.25">
      <c r="A46" s="38"/>
      <c r="B46" s="47"/>
      <c r="C46" s="50"/>
      <c r="D46" s="50"/>
      <c r="E46" s="53"/>
      <c r="F46" s="38"/>
      <c r="G46" s="41"/>
      <c r="H46" s="32"/>
      <c r="I46" s="44"/>
      <c r="J46" s="44"/>
      <c r="K46" s="35"/>
      <c r="L46" s="32"/>
      <c r="M46" s="18"/>
      <c r="N46" s="19">
        <f>19808.94+6367.42+15.93</f>
        <v>26192.29</v>
      </c>
      <c r="O46" s="18"/>
      <c r="P46" s="19">
        <v>303737.21000000002</v>
      </c>
      <c r="Q46" s="11" t="s">
        <v>270</v>
      </c>
      <c r="R46" s="12" t="s">
        <v>269</v>
      </c>
      <c r="S46" s="21"/>
      <c r="T46" s="21"/>
    </row>
    <row r="47" spans="1:20" ht="34.200000000000003" customHeight="1" x14ac:dyDescent="0.25">
      <c r="A47" s="38"/>
      <c r="B47" s="47"/>
      <c r="C47" s="50"/>
      <c r="D47" s="50"/>
      <c r="E47" s="53"/>
      <c r="F47" s="38"/>
      <c r="G47" s="41"/>
      <c r="H47" s="32"/>
      <c r="I47" s="44"/>
      <c r="J47" s="44"/>
      <c r="K47" s="35"/>
      <c r="L47" s="32"/>
      <c r="M47" s="18"/>
      <c r="N47" s="19">
        <f>9354.94+6.64</f>
        <v>9361.58</v>
      </c>
      <c r="O47" s="18"/>
      <c r="P47" s="19">
        <v>742871.78</v>
      </c>
      <c r="Q47" s="11" t="s">
        <v>272</v>
      </c>
      <c r="R47" s="12" t="s">
        <v>271</v>
      </c>
      <c r="S47" s="21"/>
      <c r="T47" s="21"/>
    </row>
    <row r="48" spans="1:20" ht="34.200000000000003" customHeight="1" x14ac:dyDescent="0.25">
      <c r="A48" s="38"/>
      <c r="B48" s="47"/>
      <c r="C48" s="50"/>
      <c r="D48" s="50"/>
      <c r="E48" s="53"/>
      <c r="F48" s="38"/>
      <c r="G48" s="41"/>
      <c r="H48" s="32"/>
      <c r="I48" s="44"/>
      <c r="J48" s="44"/>
      <c r="K48" s="35"/>
      <c r="L48" s="32"/>
      <c r="M48" s="18"/>
      <c r="N48" s="19">
        <f>2741.01+6.64</f>
        <v>2747.65</v>
      </c>
      <c r="O48" s="18"/>
      <c r="P48" s="19">
        <v>264000</v>
      </c>
      <c r="Q48" s="11" t="s">
        <v>274</v>
      </c>
      <c r="R48" s="12" t="s">
        <v>273</v>
      </c>
      <c r="S48" s="21"/>
      <c r="T48" s="21"/>
    </row>
    <row r="49" spans="1:20" ht="34.200000000000003" customHeight="1" x14ac:dyDescent="0.25">
      <c r="A49" s="38"/>
      <c r="B49" s="47"/>
      <c r="C49" s="50"/>
      <c r="D49" s="50"/>
      <c r="E49" s="53"/>
      <c r="F49" s="38"/>
      <c r="G49" s="41"/>
      <c r="H49" s="32"/>
      <c r="I49" s="44"/>
      <c r="J49" s="44"/>
      <c r="K49" s="35"/>
      <c r="L49" s="32"/>
      <c r="M49" s="18"/>
      <c r="N49" s="19">
        <f>8403.6+471.78+15.93</f>
        <v>8891.3100000000013</v>
      </c>
      <c r="O49" s="18"/>
      <c r="P49" s="19">
        <v>11204.83</v>
      </c>
      <c r="Q49" s="11" t="s">
        <v>276</v>
      </c>
      <c r="R49" s="12" t="s">
        <v>275</v>
      </c>
      <c r="S49" s="21"/>
      <c r="T49" s="21"/>
    </row>
    <row r="50" spans="1:20" ht="34.200000000000003" customHeight="1" x14ac:dyDescent="0.25">
      <c r="A50" s="38"/>
      <c r="B50" s="47"/>
      <c r="C50" s="50"/>
      <c r="D50" s="50"/>
      <c r="E50" s="54"/>
      <c r="F50" s="38"/>
      <c r="G50" s="41"/>
      <c r="H50" s="32"/>
      <c r="I50" s="44"/>
      <c r="J50" s="44"/>
      <c r="K50" s="36"/>
      <c r="L50" s="33"/>
      <c r="M50" s="18"/>
      <c r="N50" s="19">
        <f>16428.89+787.46+15.93</f>
        <v>17232.28</v>
      </c>
      <c r="O50" s="18"/>
      <c r="P50" s="19">
        <v>28141.3</v>
      </c>
      <c r="Q50" s="11" t="s">
        <v>278</v>
      </c>
      <c r="R50" s="12" t="s">
        <v>277</v>
      </c>
      <c r="S50" s="21"/>
      <c r="T50" s="21"/>
    </row>
    <row r="51" spans="1:20" ht="115.5" customHeight="1" x14ac:dyDescent="0.25">
      <c r="A51" s="39"/>
      <c r="B51" s="48"/>
      <c r="C51" s="51"/>
      <c r="D51" s="51"/>
      <c r="E51" s="14" t="s">
        <v>146</v>
      </c>
      <c r="F51" s="39"/>
      <c r="G51" s="42"/>
      <c r="H51" s="33"/>
      <c r="I51" s="45"/>
      <c r="J51" s="45"/>
      <c r="K51" s="18"/>
      <c r="L51" s="19"/>
      <c r="M51" s="18"/>
      <c r="N51" s="19"/>
      <c r="O51" s="18"/>
      <c r="P51" s="19"/>
      <c r="Q51" s="11"/>
      <c r="R51" s="12" t="s">
        <v>279</v>
      </c>
      <c r="S51" s="21" t="s">
        <v>280</v>
      </c>
      <c r="T51" s="21"/>
    </row>
    <row r="52" spans="1:20" ht="30.6" x14ac:dyDescent="0.25">
      <c r="A52" s="11">
        <v>32</v>
      </c>
      <c r="B52" s="12" t="s">
        <v>83</v>
      </c>
      <c r="C52" s="13" t="s">
        <v>84</v>
      </c>
      <c r="D52" s="12" t="s">
        <v>85</v>
      </c>
      <c r="E52" s="14" t="s">
        <v>41</v>
      </c>
      <c r="F52" s="11" t="s">
        <v>42</v>
      </c>
      <c r="G52" s="15"/>
      <c r="H52" s="16">
        <v>627.98</v>
      </c>
      <c r="I52" s="17" t="s">
        <v>42</v>
      </c>
      <c r="J52" s="17" t="s">
        <v>86</v>
      </c>
      <c r="K52" s="18"/>
      <c r="L52" s="19">
        <f t="shared" ref="L52:L76" si="2">N52+P52</f>
        <v>739.8</v>
      </c>
      <c r="M52" s="18"/>
      <c r="N52" s="19">
        <f>627.18+17.31</f>
        <v>644.4899999999999</v>
      </c>
      <c r="O52" s="18"/>
      <c r="P52" s="19">
        <v>95.31</v>
      </c>
      <c r="Q52" s="20"/>
      <c r="R52" s="12" t="s">
        <v>87</v>
      </c>
      <c r="S52" s="17"/>
      <c r="T52" s="21" t="s">
        <v>49</v>
      </c>
    </row>
    <row r="53" spans="1:20" ht="40.799999999999997" x14ac:dyDescent="0.25">
      <c r="A53" s="11">
        <v>33</v>
      </c>
      <c r="B53" s="12" t="s">
        <v>69</v>
      </c>
      <c r="C53" s="13" t="s">
        <v>70</v>
      </c>
      <c r="D53" s="12" t="s">
        <v>71</v>
      </c>
      <c r="E53" s="14" t="s">
        <v>41</v>
      </c>
      <c r="F53" s="11" t="s">
        <v>42</v>
      </c>
      <c r="G53" s="15"/>
      <c r="H53" s="16">
        <v>500</v>
      </c>
      <c r="I53" s="17" t="s">
        <v>42</v>
      </c>
      <c r="J53" s="17" t="s">
        <v>80</v>
      </c>
      <c r="K53" s="18"/>
      <c r="L53" s="19">
        <f t="shared" si="2"/>
        <v>375</v>
      </c>
      <c r="M53" s="18"/>
      <c r="N53" s="19">
        <f>375+0</f>
        <v>375</v>
      </c>
      <c r="O53" s="18"/>
      <c r="P53" s="19"/>
      <c r="Q53" s="11"/>
      <c r="R53" s="12" t="s">
        <v>81</v>
      </c>
      <c r="S53" s="21"/>
      <c r="T53" s="21" t="s">
        <v>49</v>
      </c>
    </row>
    <row r="54" spans="1:20" ht="30.6" x14ac:dyDescent="0.25">
      <c r="A54" s="11">
        <v>34</v>
      </c>
      <c r="B54" s="12" t="s">
        <v>127</v>
      </c>
      <c r="C54" s="13" t="s">
        <v>128</v>
      </c>
      <c r="D54" s="12" t="s">
        <v>129</v>
      </c>
      <c r="E54" s="14" t="s">
        <v>41</v>
      </c>
      <c r="F54" s="11" t="s">
        <v>42</v>
      </c>
      <c r="G54" s="15"/>
      <c r="H54" s="16">
        <v>3000</v>
      </c>
      <c r="I54" s="17" t="s">
        <v>42</v>
      </c>
      <c r="J54" s="17" t="s">
        <v>130</v>
      </c>
      <c r="K54" s="18"/>
      <c r="L54" s="19">
        <f>N54+P54</f>
        <v>3000</v>
      </c>
      <c r="M54" s="18"/>
      <c r="N54" s="19">
        <v>3000</v>
      </c>
      <c r="O54" s="18"/>
      <c r="P54" s="19"/>
      <c r="Q54" s="11"/>
      <c r="R54" s="12" t="s">
        <v>131</v>
      </c>
      <c r="S54" s="21"/>
      <c r="T54" s="21" t="s">
        <v>49</v>
      </c>
    </row>
    <row r="55" spans="1:20" ht="30.6" customHeight="1" x14ac:dyDescent="0.25">
      <c r="A55" s="37">
        <v>35</v>
      </c>
      <c r="B55" s="46" t="s">
        <v>207</v>
      </c>
      <c r="C55" s="49" t="s">
        <v>208</v>
      </c>
      <c r="D55" s="46" t="s">
        <v>209</v>
      </c>
      <c r="E55" s="14" t="s">
        <v>41</v>
      </c>
      <c r="F55" s="37" t="s">
        <v>42</v>
      </c>
      <c r="G55" s="40"/>
      <c r="H55" s="55">
        <v>695.11</v>
      </c>
      <c r="I55" s="43" t="s">
        <v>42</v>
      </c>
      <c r="J55" s="43" t="s">
        <v>158</v>
      </c>
      <c r="K55" s="18"/>
      <c r="L55" s="19">
        <f>N55+P55</f>
        <v>695.11</v>
      </c>
      <c r="M55" s="18"/>
      <c r="N55" s="19">
        <v>456.23</v>
      </c>
      <c r="O55" s="18"/>
      <c r="P55" s="19">
        <v>238.88</v>
      </c>
      <c r="Q55" s="11"/>
      <c r="R55" s="12" t="s">
        <v>62</v>
      </c>
      <c r="S55" s="21"/>
      <c r="T55" s="52" t="s">
        <v>49</v>
      </c>
    </row>
    <row r="56" spans="1:20" ht="20.399999999999999" x14ac:dyDescent="0.25">
      <c r="A56" s="39"/>
      <c r="B56" s="48"/>
      <c r="C56" s="51"/>
      <c r="D56" s="48"/>
      <c r="E56" s="14" t="s">
        <v>78</v>
      </c>
      <c r="F56" s="39"/>
      <c r="G56" s="42"/>
      <c r="H56" s="56"/>
      <c r="I56" s="45"/>
      <c r="J56" s="45"/>
      <c r="K56" s="18"/>
      <c r="L56" s="19"/>
      <c r="M56" s="18"/>
      <c r="N56" s="19"/>
      <c r="O56" s="18"/>
      <c r="P56" s="19"/>
      <c r="Q56" s="11"/>
      <c r="R56" s="12" t="s">
        <v>210</v>
      </c>
      <c r="S56" s="21" t="s">
        <v>211</v>
      </c>
      <c r="T56" s="54"/>
    </row>
    <row r="57" spans="1:20" ht="81.599999999999994" x14ac:dyDescent="0.25">
      <c r="A57" s="11">
        <v>36</v>
      </c>
      <c r="B57" s="12" t="s">
        <v>121</v>
      </c>
      <c r="C57" s="13" t="s">
        <v>126</v>
      </c>
      <c r="D57" s="12" t="s">
        <v>122</v>
      </c>
      <c r="E57" s="14" t="s">
        <v>41</v>
      </c>
      <c r="F57" s="11" t="s">
        <v>42</v>
      </c>
      <c r="G57" s="15"/>
      <c r="H57" s="16">
        <v>37742.03</v>
      </c>
      <c r="I57" s="17" t="s">
        <v>42</v>
      </c>
      <c r="J57" s="17" t="s">
        <v>123</v>
      </c>
      <c r="K57" s="18"/>
      <c r="L57" s="19">
        <f>N57+P57</f>
        <v>37742.03</v>
      </c>
      <c r="M57" s="18"/>
      <c r="N57" s="19">
        <v>37742.03</v>
      </c>
      <c r="O57" s="18"/>
      <c r="P57" s="19"/>
      <c r="Q57" s="11"/>
      <c r="R57" s="12" t="s">
        <v>124</v>
      </c>
      <c r="S57" s="21"/>
      <c r="T57" s="21" t="s">
        <v>125</v>
      </c>
    </row>
    <row r="58" spans="1:20" ht="30.6" x14ac:dyDescent="0.25">
      <c r="A58" s="11">
        <v>37</v>
      </c>
      <c r="B58" s="12" t="s">
        <v>212</v>
      </c>
      <c r="C58" s="13" t="s">
        <v>213</v>
      </c>
      <c r="D58" s="12" t="s">
        <v>214</v>
      </c>
      <c r="E58" s="14" t="s">
        <v>41</v>
      </c>
      <c r="F58" s="11" t="s">
        <v>42</v>
      </c>
      <c r="G58" s="15"/>
      <c r="H58" s="16">
        <v>119.29</v>
      </c>
      <c r="I58" s="17" t="s">
        <v>42</v>
      </c>
      <c r="J58" s="17" t="s">
        <v>158</v>
      </c>
      <c r="K58" s="18"/>
      <c r="L58" s="19">
        <f>N58+P58</f>
        <v>119.29</v>
      </c>
      <c r="M58" s="18"/>
      <c r="N58" s="19">
        <v>119.29</v>
      </c>
      <c r="O58" s="18"/>
      <c r="P58" s="19"/>
      <c r="Q58" s="11"/>
      <c r="R58" s="12" t="s">
        <v>215</v>
      </c>
      <c r="S58" s="21"/>
      <c r="T58" s="21" t="s">
        <v>49</v>
      </c>
    </row>
    <row r="59" spans="1:20" ht="51" x14ac:dyDescent="0.25">
      <c r="A59" s="11">
        <v>38</v>
      </c>
      <c r="B59" s="12" t="s">
        <v>298</v>
      </c>
      <c r="C59" s="13" t="s">
        <v>299</v>
      </c>
      <c r="D59" s="12" t="s">
        <v>300</v>
      </c>
      <c r="E59" s="14" t="s">
        <v>41</v>
      </c>
      <c r="F59" s="11" t="s">
        <v>96</v>
      </c>
      <c r="G59" s="15"/>
      <c r="H59" s="16"/>
      <c r="I59" s="17" t="s">
        <v>42</v>
      </c>
      <c r="J59" s="17" t="s">
        <v>288</v>
      </c>
      <c r="K59" s="18">
        <f>M59+O59</f>
        <v>11301.75</v>
      </c>
      <c r="L59" s="19">
        <f>N59+P59</f>
        <v>1500</v>
      </c>
      <c r="M59" s="18">
        <v>11301.75</v>
      </c>
      <c r="N59" s="19">
        <v>1500</v>
      </c>
      <c r="O59" s="18"/>
      <c r="P59" s="19"/>
      <c r="Q59" s="11"/>
      <c r="R59" s="12"/>
      <c r="S59" s="21"/>
      <c r="T59" s="21"/>
    </row>
    <row r="60" spans="1:20" ht="40.799999999999997" x14ac:dyDescent="0.25">
      <c r="A60" s="11">
        <v>39</v>
      </c>
      <c r="B60" s="12" t="s">
        <v>164</v>
      </c>
      <c r="C60" s="13" t="s">
        <v>166</v>
      </c>
      <c r="D60" s="12" t="s">
        <v>165</v>
      </c>
      <c r="E60" s="14" t="s">
        <v>41</v>
      </c>
      <c r="F60" s="11" t="s">
        <v>42</v>
      </c>
      <c r="G60" s="15"/>
      <c r="H60" s="16">
        <v>2189.67</v>
      </c>
      <c r="I60" s="17" t="s">
        <v>42</v>
      </c>
      <c r="J60" s="17" t="s">
        <v>167</v>
      </c>
      <c r="K60" s="18"/>
      <c r="L60" s="19">
        <f>N60+P60</f>
        <v>2212.42</v>
      </c>
      <c r="M60" s="18"/>
      <c r="N60" s="19">
        <f>1277.29+22.75</f>
        <v>1300.04</v>
      </c>
      <c r="O60" s="18"/>
      <c r="P60" s="19">
        <v>912.38</v>
      </c>
      <c r="Q60" s="11" t="s">
        <v>168</v>
      </c>
      <c r="R60" s="12" t="s">
        <v>169</v>
      </c>
      <c r="S60" s="21"/>
      <c r="T60" s="21" t="s">
        <v>49</v>
      </c>
    </row>
    <row r="61" spans="1:20" ht="28.95" customHeight="1" x14ac:dyDescent="0.25">
      <c r="A61" s="37">
        <v>40</v>
      </c>
      <c r="B61" s="46" t="s">
        <v>176</v>
      </c>
      <c r="C61" s="49" t="s">
        <v>177</v>
      </c>
      <c r="D61" s="46" t="s">
        <v>178</v>
      </c>
      <c r="E61" s="14" t="s">
        <v>41</v>
      </c>
      <c r="F61" s="37" t="s">
        <v>42</v>
      </c>
      <c r="G61" s="40"/>
      <c r="H61" s="55">
        <v>14255.38</v>
      </c>
      <c r="I61" s="43" t="s">
        <v>42</v>
      </c>
      <c r="J61" s="43" t="s">
        <v>142</v>
      </c>
      <c r="K61" s="18"/>
      <c r="L61" s="19">
        <f>N61+P61</f>
        <v>148070.76999999999</v>
      </c>
      <c r="M61" s="18"/>
      <c r="N61" s="19">
        <f>14695.55+157.76</f>
        <v>14853.31</v>
      </c>
      <c r="O61" s="18"/>
      <c r="P61" s="19">
        <v>133217.46</v>
      </c>
      <c r="Q61" s="11" t="s">
        <v>179</v>
      </c>
      <c r="R61" s="12" t="s">
        <v>180</v>
      </c>
      <c r="S61" s="21"/>
      <c r="T61" s="52" t="s">
        <v>49</v>
      </c>
    </row>
    <row r="62" spans="1:20" ht="172.5" customHeight="1" x14ac:dyDescent="0.25">
      <c r="A62" s="39"/>
      <c r="B62" s="48"/>
      <c r="C62" s="51"/>
      <c r="D62" s="48"/>
      <c r="E62" s="14" t="s">
        <v>78</v>
      </c>
      <c r="F62" s="39"/>
      <c r="G62" s="42"/>
      <c r="H62" s="56"/>
      <c r="I62" s="45"/>
      <c r="J62" s="45"/>
      <c r="K62" s="18"/>
      <c r="L62" s="19"/>
      <c r="M62" s="18"/>
      <c r="N62" s="19"/>
      <c r="O62" s="18"/>
      <c r="P62" s="19"/>
      <c r="Q62" s="11"/>
      <c r="R62" s="12" t="s">
        <v>181</v>
      </c>
      <c r="S62" s="21" t="s">
        <v>182</v>
      </c>
      <c r="T62" s="54"/>
    </row>
    <row r="63" spans="1:20" ht="20.399999999999999" x14ac:dyDescent="0.25">
      <c r="A63" s="11">
        <v>41</v>
      </c>
      <c r="B63" s="12" t="s">
        <v>99</v>
      </c>
      <c r="C63" s="13" t="s">
        <v>100</v>
      </c>
      <c r="D63" s="12" t="s">
        <v>101</v>
      </c>
      <c r="E63" s="14" t="s">
        <v>41</v>
      </c>
      <c r="F63" s="11" t="s">
        <v>96</v>
      </c>
      <c r="G63" s="15"/>
      <c r="H63" s="16"/>
      <c r="I63" s="17" t="s">
        <v>42</v>
      </c>
      <c r="J63" s="17" t="s">
        <v>97</v>
      </c>
      <c r="K63" s="18"/>
      <c r="L63" s="19">
        <f>N63+P63</f>
        <v>5848.08</v>
      </c>
      <c r="M63" s="18"/>
      <c r="N63" s="19">
        <v>5848.08</v>
      </c>
      <c r="O63" s="18"/>
      <c r="P63" s="19"/>
      <c r="Q63" s="11"/>
      <c r="R63" s="12" t="s">
        <v>102</v>
      </c>
      <c r="S63" s="21"/>
      <c r="T63" s="21"/>
    </row>
    <row r="64" spans="1:20" ht="30.6" x14ac:dyDescent="0.25">
      <c r="A64" s="11">
        <v>42</v>
      </c>
      <c r="B64" s="12" t="s">
        <v>225</v>
      </c>
      <c r="C64" s="13" t="s">
        <v>226</v>
      </c>
      <c r="D64" s="12" t="s">
        <v>227</v>
      </c>
      <c r="E64" s="14" t="s">
        <v>41</v>
      </c>
      <c r="F64" s="11" t="s">
        <v>96</v>
      </c>
      <c r="G64" s="15"/>
      <c r="H64" s="16"/>
      <c r="I64" s="17" t="s">
        <v>42</v>
      </c>
      <c r="J64" s="17" t="s">
        <v>158</v>
      </c>
      <c r="K64" s="18"/>
      <c r="L64" s="19">
        <f>N64+P64</f>
        <v>34879.360000000001</v>
      </c>
      <c r="M64" s="18"/>
      <c r="N64" s="19">
        <f>34350+529.36</f>
        <v>34879.360000000001</v>
      </c>
      <c r="O64" s="18"/>
      <c r="P64" s="19"/>
      <c r="Q64" s="11" t="s">
        <v>228</v>
      </c>
      <c r="R64" s="12" t="s">
        <v>229</v>
      </c>
      <c r="S64" s="21"/>
      <c r="T64" s="21"/>
    </row>
    <row r="65" spans="1:20" ht="20.399999999999999" x14ac:dyDescent="0.25">
      <c r="A65" s="11">
        <v>43</v>
      </c>
      <c r="B65" s="12" t="s">
        <v>255</v>
      </c>
      <c r="C65" s="13" t="s">
        <v>256</v>
      </c>
      <c r="D65" s="12" t="s">
        <v>257</v>
      </c>
      <c r="E65" s="14" t="s">
        <v>41</v>
      </c>
      <c r="F65" s="11" t="s">
        <v>96</v>
      </c>
      <c r="G65" s="15"/>
      <c r="H65" s="16"/>
      <c r="I65" s="17" t="s">
        <v>42</v>
      </c>
      <c r="J65" s="17" t="s">
        <v>254</v>
      </c>
      <c r="K65" s="18"/>
      <c r="L65" s="19">
        <f>N65+P65</f>
        <v>2700</v>
      </c>
      <c r="M65" s="18"/>
      <c r="N65" s="19">
        <v>1350</v>
      </c>
      <c r="O65" s="18"/>
      <c r="P65" s="19">
        <v>1350</v>
      </c>
      <c r="Q65" s="11"/>
      <c r="R65" s="12"/>
      <c r="S65" s="21"/>
      <c r="T65" s="21"/>
    </row>
    <row r="66" spans="1:20" ht="30.6" x14ac:dyDescent="0.25">
      <c r="A66" s="11">
        <v>44</v>
      </c>
      <c r="B66" s="12" t="s">
        <v>200</v>
      </c>
      <c r="C66" s="13" t="s">
        <v>198</v>
      </c>
      <c r="D66" s="12" t="s">
        <v>199</v>
      </c>
      <c r="E66" s="14" t="s">
        <v>41</v>
      </c>
      <c r="F66" s="11" t="s">
        <v>42</v>
      </c>
      <c r="G66" s="30"/>
      <c r="H66" s="19">
        <v>512.74</v>
      </c>
      <c r="I66" s="17" t="s">
        <v>42</v>
      </c>
      <c r="J66" s="17" t="s">
        <v>167</v>
      </c>
      <c r="K66" s="18"/>
      <c r="L66" s="19">
        <f>N66+P66</f>
        <v>526.59</v>
      </c>
      <c r="M66" s="18"/>
      <c r="N66" s="19">
        <v>526.59</v>
      </c>
      <c r="O66" s="18"/>
      <c r="P66" s="19"/>
      <c r="Q66" s="11"/>
      <c r="R66" s="12" t="s">
        <v>201</v>
      </c>
      <c r="S66" s="21"/>
      <c r="T66" s="21" t="s">
        <v>49</v>
      </c>
    </row>
    <row r="67" spans="1:20" ht="20.399999999999999" x14ac:dyDescent="0.25">
      <c r="A67" s="37">
        <v>45</v>
      </c>
      <c r="B67" s="46" t="s">
        <v>139</v>
      </c>
      <c r="C67" s="49" t="s">
        <v>140</v>
      </c>
      <c r="D67" s="46" t="s">
        <v>141</v>
      </c>
      <c r="E67" s="14" t="s">
        <v>41</v>
      </c>
      <c r="F67" s="37" t="s">
        <v>96</v>
      </c>
      <c r="G67" s="40"/>
      <c r="H67" s="31"/>
      <c r="I67" s="43" t="s">
        <v>42</v>
      </c>
      <c r="J67" s="43" t="s">
        <v>142</v>
      </c>
      <c r="K67" s="18"/>
      <c r="L67" s="19">
        <f>N67+P67</f>
        <v>81621.679999999993</v>
      </c>
      <c r="M67" s="18"/>
      <c r="N67" s="19">
        <f>77966.12+721.8</f>
        <v>78687.92</v>
      </c>
      <c r="O67" s="18"/>
      <c r="P67" s="19">
        <v>2933.76</v>
      </c>
      <c r="Q67" s="11" t="s">
        <v>144</v>
      </c>
      <c r="R67" s="12" t="s">
        <v>143</v>
      </c>
      <c r="S67" s="21"/>
      <c r="T67" s="21"/>
    </row>
    <row r="68" spans="1:20" ht="265.2" x14ac:dyDescent="0.25">
      <c r="A68" s="38"/>
      <c r="B68" s="47"/>
      <c r="C68" s="50"/>
      <c r="D68" s="47"/>
      <c r="E68" s="52" t="s">
        <v>146</v>
      </c>
      <c r="F68" s="38"/>
      <c r="G68" s="41"/>
      <c r="H68" s="32"/>
      <c r="I68" s="44"/>
      <c r="J68" s="44"/>
      <c r="K68" s="34"/>
      <c r="L68" s="31"/>
      <c r="M68" s="34"/>
      <c r="N68" s="31"/>
      <c r="O68" s="34"/>
      <c r="P68" s="31"/>
      <c r="Q68" s="37"/>
      <c r="R68" s="12" t="s">
        <v>145</v>
      </c>
      <c r="S68" s="21" t="s">
        <v>295</v>
      </c>
      <c r="T68" s="21"/>
    </row>
    <row r="69" spans="1:20" ht="102" x14ac:dyDescent="0.25">
      <c r="A69" s="39"/>
      <c r="B69" s="48"/>
      <c r="C69" s="51"/>
      <c r="D69" s="48"/>
      <c r="E69" s="54"/>
      <c r="F69" s="39"/>
      <c r="G69" s="42"/>
      <c r="H69" s="33"/>
      <c r="I69" s="45"/>
      <c r="J69" s="45"/>
      <c r="K69" s="36"/>
      <c r="L69" s="33"/>
      <c r="M69" s="36"/>
      <c r="N69" s="33"/>
      <c r="O69" s="36"/>
      <c r="P69" s="33"/>
      <c r="Q69" s="39"/>
      <c r="R69" s="12" t="s">
        <v>148</v>
      </c>
      <c r="S69" s="21" t="s">
        <v>147</v>
      </c>
      <c r="T69" s="21"/>
    </row>
    <row r="70" spans="1:20" ht="40.799999999999997" x14ac:dyDescent="0.25">
      <c r="A70" s="11">
        <v>46</v>
      </c>
      <c r="B70" s="21" t="s">
        <v>106</v>
      </c>
      <c r="C70" s="13" t="s">
        <v>107</v>
      </c>
      <c r="D70" s="12" t="s">
        <v>108</v>
      </c>
      <c r="E70" s="14" t="s">
        <v>41</v>
      </c>
      <c r="F70" s="11" t="s">
        <v>96</v>
      </c>
      <c r="G70" s="15"/>
      <c r="H70" s="16"/>
      <c r="I70" s="17" t="s">
        <v>42</v>
      </c>
      <c r="J70" s="17" t="s">
        <v>97</v>
      </c>
      <c r="K70" s="18"/>
      <c r="L70" s="19">
        <f t="shared" si="2"/>
        <v>45000</v>
      </c>
      <c r="M70" s="18"/>
      <c r="N70" s="19">
        <v>45000</v>
      </c>
      <c r="O70" s="18"/>
      <c r="P70" s="19"/>
      <c r="Q70" s="11"/>
      <c r="R70" s="12" t="s">
        <v>109</v>
      </c>
      <c r="S70" s="21"/>
      <c r="T70" s="21"/>
    </row>
    <row r="71" spans="1:20" ht="51" x14ac:dyDescent="0.25">
      <c r="A71" s="11">
        <v>47</v>
      </c>
      <c r="B71" s="21" t="s">
        <v>135</v>
      </c>
      <c r="C71" s="13" t="s">
        <v>136</v>
      </c>
      <c r="D71" s="12" t="s">
        <v>137</v>
      </c>
      <c r="E71" s="14" t="s">
        <v>41</v>
      </c>
      <c r="F71" s="11" t="s">
        <v>42</v>
      </c>
      <c r="G71" s="15"/>
      <c r="H71" s="16">
        <v>424.8</v>
      </c>
      <c r="I71" s="17" t="s">
        <v>42</v>
      </c>
      <c r="J71" s="17" t="s">
        <v>130</v>
      </c>
      <c r="K71" s="18"/>
      <c r="L71" s="19">
        <f>N71+P71</f>
        <v>430.83</v>
      </c>
      <c r="M71" s="18"/>
      <c r="N71" s="19">
        <f>424.8+6.03</f>
        <v>430.83</v>
      </c>
      <c r="O71" s="18"/>
      <c r="P71" s="19"/>
      <c r="Q71" s="11"/>
      <c r="R71" s="12" t="s">
        <v>138</v>
      </c>
      <c r="S71" s="21"/>
      <c r="T71" s="21" t="s">
        <v>49</v>
      </c>
    </row>
    <row r="72" spans="1:20" ht="30.6" x14ac:dyDescent="0.25">
      <c r="A72" s="11">
        <v>48</v>
      </c>
      <c r="B72" s="21" t="s">
        <v>93</v>
      </c>
      <c r="C72" s="13" t="s">
        <v>94</v>
      </c>
      <c r="D72" s="12" t="s">
        <v>95</v>
      </c>
      <c r="E72" s="14" t="s">
        <v>41</v>
      </c>
      <c r="F72" s="11" t="s">
        <v>96</v>
      </c>
      <c r="G72" s="15"/>
      <c r="H72" s="16"/>
      <c r="I72" s="17" t="s">
        <v>42</v>
      </c>
      <c r="J72" s="17" t="s">
        <v>97</v>
      </c>
      <c r="K72" s="18"/>
      <c r="L72" s="19">
        <f t="shared" si="2"/>
        <v>5682.6</v>
      </c>
      <c r="M72" s="18"/>
      <c r="N72" s="19">
        <v>5682.6</v>
      </c>
      <c r="O72" s="18"/>
      <c r="P72" s="19"/>
      <c r="Q72" s="11"/>
      <c r="R72" s="12" t="s">
        <v>98</v>
      </c>
      <c r="S72" s="21"/>
    </row>
    <row r="73" spans="1:20" ht="30.6" x14ac:dyDescent="0.25">
      <c r="A73" s="11">
        <v>49</v>
      </c>
      <c r="B73" s="21" t="s">
        <v>110</v>
      </c>
      <c r="C73" s="13" t="s">
        <v>111</v>
      </c>
      <c r="D73" s="12" t="s">
        <v>112</v>
      </c>
      <c r="E73" s="14" t="s">
        <v>41</v>
      </c>
      <c r="F73" s="11" t="s">
        <v>42</v>
      </c>
      <c r="G73" s="15"/>
      <c r="H73" s="16">
        <v>103320.45</v>
      </c>
      <c r="I73" s="17" t="s">
        <v>42</v>
      </c>
      <c r="J73" s="17" t="s">
        <v>91</v>
      </c>
      <c r="K73" s="18"/>
      <c r="L73" s="19">
        <f>N73+P73</f>
        <v>103227.51</v>
      </c>
      <c r="M73" s="18"/>
      <c r="N73" s="19">
        <f>103227.51</f>
        <v>103227.51</v>
      </c>
      <c r="O73" s="18"/>
      <c r="P73" s="19"/>
      <c r="Q73" s="11"/>
      <c r="R73" s="12" t="s">
        <v>113</v>
      </c>
      <c r="S73" s="21"/>
      <c r="T73" s="21" t="s">
        <v>49</v>
      </c>
    </row>
    <row r="74" spans="1:20" ht="30.6" x14ac:dyDescent="0.25">
      <c r="A74" s="11">
        <v>50</v>
      </c>
      <c r="B74" s="21" t="s">
        <v>258</v>
      </c>
      <c r="C74" s="13" t="s">
        <v>259</v>
      </c>
      <c r="D74" s="12" t="s">
        <v>260</v>
      </c>
      <c r="E74" s="14" t="s">
        <v>41</v>
      </c>
      <c r="F74" s="11" t="s">
        <v>96</v>
      </c>
      <c r="G74" s="15"/>
      <c r="H74" s="16"/>
      <c r="I74" s="17" t="s">
        <v>42</v>
      </c>
      <c r="J74" s="17" t="s">
        <v>254</v>
      </c>
      <c r="K74" s="18"/>
      <c r="L74" s="19">
        <f>N74+P74</f>
        <v>1066.81</v>
      </c>
      <c r="M74" s="18"/>
      <c r="N74" s="19">
        <v>1066.81</v>
      </c>
      <c r="O74" s="18"/>
      <c r="P74" s="19"/>
      <c r="Q74" s="11"/>
      <c r="R74" s="12" t="s">
        <v>293</v>
      </c>
      <c r="S74" s="21"/>
      <c r="T74" s="21"/>
    </row>
    <row r="75" spans="1:20" ht="20.399999999999999" x14ac:dyDescent="0.25">
      <c r="A75" s="11">
        <v>51</v>
      </c>
      <c r="B75" s="21" t="s">
        <v>103</v>
      </c>
      <c r="C75" s="13" t="s">
        <v>104</v>
      </c>
      <c r="D75" s="12" t="s">
        <v>105</v>
      </c>
      <c r="E75" s="14" t="s">
        <v>41</v>
      </c>
      <c r="F75" s="11" t="s">
        <v>96</v>
      </c>
      <c r="G75" s="15"/>
      <c r="H75" s="16"/>
      <c r="I75" s="17" t="s">
        <v>42</v>
      </c>
      <c r="J75" s="17" t="s">
        <v>97</v>
      </c>
      <c r="K75" s="18"/>
      <c r="L75" s="19">
        <f t="shared" si="2"/>
        <v>847.57</v>
      </c>
      <c r="M75" s="18"/>
      <c r="N75" s="19">
        <f>840+7.57</f>
        <v>847.57</v>
      </c>
      <c r="O75" s="18"/>
      <c r="P75" s="19"/>
      <c r="Q75" s="11"/>
      <c r="R75" s="12" t="s">
        <v>98</v>
      </c>
      <c r="S75" s="21"/>
      <c r="T75" s="21"/>
    </row>
    <row r="76" spans="1:20" ht="30.6" x14ac:dyDescent="0.25">
      <c r="A76" s="11">
        <v>52</v>
      </c>
      <c r="B76" s="12" t="s">
        <v>89</v>
      </c>
      <c r="C76" s="13" t="s">
        <v>88</v>
      </c>
      <c r="D76" s="12" t="s">
        <v>90</v>
      </c>
      <c r="E76" s="14" t="s">
        <v>41</v>
      </c>
      <c r="F76" s="11" t="s">
        <v>42</v>
      </c>
      <c r="G76" s="15"/>
      <c r="H76" s="16">
        <v>5003.12</v>
      </c>
      <c r="I76" s="17" t="s">
        <v>42</v>
      </c>
      <c r="J76" s="17" t="s">
        <v>91</v>
      </c>
      <c r="K76" s="18"/>
      <c r="L76" s="19">
        <f t="shared" si="2"/>
        <v>2930.48</v>
      </c>
      <c r="M76" s="18"/>
      <c r="N76" s="19">
        <v>2930.48</v>
      </c>
      <c r="O76" s="18"/>
      <c r="P76" s="19"/>
      <c r="Q76" s="17"/>
      <c r="R76" s="12" t="s">
        <v>92</v>
      </c>
      <c r="S76" s="17"/>
      <c r="T76" s="21" t="s">
        <v>49</v>
      </c>
    </row>
  </sheetData>
  <autoFilter ref="A12:T76" xr:uid="{00000000-0009-0000-0000-000000000000}"/>
  <sortState xmlns:xlrd2="http://schemas.microsoft.com/office/spreadsheetml/2017/richdata2" ref="A23:T24">
    <sortCondition ref="A23:A24"/>
  </sortState>
  <mergeCells count="79">
    <mergeCell ref="G61:G62"/>
    <mergeCell ref="H61:H62"/>
    <mergeCell ref="I61:I62"/>
    <mergeCell ref="J61:J62"/>
    <mergeCell ref="T61:T62"/>
    <mergeCell ref="A61:A62"/>
    <mergeCell ref="B61:B62"/>
    <mergeCell ref="C61:C62"/>
    <mergeCell ref="D61:D62"/>
    <mergeCell ref="F61:F62"/>
    <mergeCell ref="P68:P69"/>
    <mergeCell ref="Q68:Q69"/>
    <mergeCell ref="K68:K69"/>
    <mergeCell ref="L68:L69"/>
    <mergeCell ref="M68:M69"/>
    <mergeCell ref="N68:N69"/>
    <mergeCell ref="O68:O69"/>
    <mergeCell ref="A10:C10"/>
    <mergeCell ref="D10:T10"/>
    <mergeCell ref="A7:C7"/>
    <mergeCell ref="D7:T7"/>
    <mergeCell ref="A8:C8"/>
    <mergeCell ref="D8:T8"/>
    <mergeCell ref="A9:C9"/>
    <mergeCell ref="D9:T9"/>
    <mergeCell ref="A4:C4"/>
    <mergeCell ref="D4:T4"/>
    <mergeCell ref="A5:C5"/>
    <mergeCell ref="D5:T5"/>
    <mergeCell ref="A6:C6"/>
    <mergeCell ref="D6:T6"/>
    <mergeCell ref="A1:C1"/>
    <mergeCell ref="D1:T1"/>
    <mergeCell ref="A2:C2"/>
    <mergeCell ref="D2:T2"/>
    <mergeCell ref="A3:C3"/>
    <mergeCell ref="D3:T3"/>
    <mergeCell ref="I41:I42"/>
    <mergeCell ref="G41:G42"/>
    <mergeCell ref="J41:J42"/>
    <mergeCell ref="T41:T42"/>
    <mergeCell ref="A41:A42"/>
    <mergeCell ref="B41:B42"/>
    <mergeCell ref="C41:C42"/>
    <mergeCell ref="D41:D42"/>
    <mergeCell ref="F41:F42"/>
    <mergeCell ref="H41:H42"/>
    <mergeCell ref="H67:H69"/>
    <mergeCell ref="I67:I69"/>
    <mergeCell ref="J67:J69"/>
    <mergeCell ref="E68:E69"/>
    <mergeCell ref="A67:A69"/>
    <mergeCell ref="B67:B69"/>
    <mergeCell ref="C67:C69"/>
    <mergeCell ref="D67:D69"/>
    <mergeCell ref="F67:F69"/>
    <mergeCell ref="G67:G69"/>
    <mergeCell ref="H55:H56"/>
    <mergeCell ref="I55:I56"/>
    <mergeCell ref="J55:J56"/>
    <mergeCell ref="T55:T56"/>
    <mergeCell ref="A55:A56"/>
    <mergeCell ref="B55:B56"/>
    <mergeCell ref="C55:C56"/>
    <mergeCell ref="D55:D56"/>
    <mergeCell ref="F55:F56"/>
    <mergeCell ref="G55:G56"/>
    <mergeCell ref="A44:A51"/>
    <mergeCell ref="B44:B51"/>
    <mergeCell ref="C44:C51"/>
    <mergeCell ref="D44:D51"/>
    <mergeCell ref="E44:E50"/>
    <mergeCell ref="L44:L50"/>
    <mergeCell ref="K44:K50"/>
    <mergeCell ref="F44:F51"/>
    <mergeCell ref="G44:G51"/>
    <mergeCell ref="H44:H51"/>
    <mergeCell ref="I44:I51"/>
    <mergeCell ref="J44:J51"/>
  </mergeCells>
  <pageMargins left="0.11811023622047245" right="0.11811023622047245" top="0.78740157480314965" bottom="0.19685039370078741" header="0.19685039370078741" footer="0.19685039370078741"/>
  <pageSetup scale="6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Prijave tražbina</vt:lpstr>
      <vt:lpstr>'Prijave tražbina'!Print_Titles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Franković</dc:creator>
  <cp:lastModifiedBy>Darko Janković</cp:lastModifiedBy>
  <cp:lastPrinted>2024-02-19T10:50:23Z</cp:lastPrinted>
  <dcterms:created xsi:type="dcterms:W3CDTF">2022-12-27T12:06:54Z</dcterms:created>
  <dcterms:modified xsi:type="dcterms:W3CDTF">2024-08-16T07:50:25Z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d1ab742f-39a8-4a62-9744-1e8791e01e71_Enabled">
    <vt:lpwstr>true</vt:lpwstr>
  </property>
  <property fmtid="{D5CDD505-2E9C-101B-9397-08002B2CF9AE}" pid="4" name="MSIP_Label_d1ab742f-39a8-4a62-9744-1e8791e01e71_SetDate">
    <vt:lpwstr>2023-01-02T12:46:12Z</vt:lpwstr>
  </property>
  <property fmtid="{D5CDD505-2E9C-101B-9397-08002B2CF9AE}" pid="5" name="MSIP_Label_d1ab742f-39a8-4a62-9744-1e8791e01e71_Method">
    <vt:lpwstr>Privileged</vt:lpwstr>
  </property>
  <property fmtid="{D5CDD505-2E9C-101B-9397-08002B2CF9AE}" pid="6" name="MSIP_Label_d1ab742f-39a8-4a62-9744-1e8791e01e71_Name">
    <vt:lpwstr>test</vt:lpwstr>
  </property>
  <property fmtid="{D5CDD505-2E9C-101B-9397-08002B2CF9AE}" pid="7" name="MSIP_Label_d1ab742f-39a8-4a62-9744-1e8791e01e71_SiteId">
    <vt:lpwstr>f48894ec-930b-40d5-9326-43383e17b59f</vt:lpwstr>
  </property>
  <property fmtid="{D5CDD505-2E9C-101B-9397-08002B2CF9AE}" pid="8" name="MSIP_Label_d1ab742f-39a8-4a62-9744-1e8791e01e71_ActionId">
    <vt:lpwstr>11dc6c8c-2896-427c-8569-1b5e89a06781</vt:lpwstr>
  </property>
  <property fmtid="{D5CDD505-2E9C-101B-9397-08002B2CF9AE}" pid="9" name="MSIP_Label_d1ab742f-39a8-4a62-9744-1e8791e01e71_ContentBits">
    <vt:lpwstr>0</vt:lpwstr>
  </property>
</Properties>
</file>