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xl/comments12.xml" ContentType="application/vnd.openxmlformats-officedocument.spreadsheetml.comments+xml"/>
  <Override PartName="/xl/comments1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filterPrivacy="1"/>
  <xr:revisionPtr revIDLastSave="0" documentId="8_{CCA96B11-B5BD-4DA4-AF17-FFAE5EB8535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CEDAR Dugotrajna imovina" sheetId="15" r:id="rId1"/>
    <sheet name="Temeljnica" sheetId="21" r:id="rId2"/>
    <sheet name="CEDAR 012=5 019=3" sheetId="16" r:id="rId3"/>
    <sheet name="CEDAR 020= 1,2..5  " sheetId="6" r:id="rId4"/>
    <sheet name="CEDAR 023=DO 023 " sheetId="5" r:id="rId5"/>
    <sheet name="CEDAR 030 " sheetId="4" r:id="rId6"/>
    <sheet name="CEDAR 030,111" sheetId="3" r:id="rId7"/>
    <sheet name="CEDAR 030,111 - prebačeno" sheetId="10" r:id="rId8"/>
    <sheet name="CEDAR  031,2 " sheetId="11" r:id="rId9"/>
    <sheet name="CEDAR 032,07" sheetId="1" r:id="rId10"/>
    <sheet name="CEDAR 032,01" sheetId="2" r:id="rId11"/>
    <sheet name="CEDAR 032" sheetId="12" r:id="rId12"/>
    <sheet name="CEDAR 034" sheetId="17" r:id="rId13"/>
    <sheet name="CEDAR 040" sheetId="20" r:id="rId14"/>
    <sheet name="CEDAR  050" sheetId="18" r:id="rId15"/>
    <sheet name="CEDAR 053=0 - 059=0,2 " sheetId="13" r:id="rId16"/>
    <sheet name="CEDAR 060 " sheetId="14" r:id="rId17"/>
    <sheet name="CEDAR 064" sheetId="19" r:id="rId18"/>
    <sheet name="VEE 030=0,9" sheetId="9" state="hidden" r:id="rId19"/>
    <sheet name="VEE 0312=1" sheetId="7" state="hidden" r:id="rId20"/>
    <sheet name="VEE 031= 0,91" sheetId="8" state="hidden" r:id="rId21"/>
  </sheets>
  <externalReferences>
    <externalReference r:id="rId22"/>
  </externalReferences>
  <definedNames>
    <definedName name="_xlnm.Print_Area" localSheetId="3">'CEDAR 020= 1,2..5  '!$A$1:$W$24</definedName>
    <definedName name="_xlnm.Print_Area" localSheetId="4">'CEDAR 023=DO 023 '!$A$1:$Y$34</definedName>
    <definedName name="_xlnm.Print_Area" localSheetId="5">'CEDAR 030 '!$A$1:$Y$66</definedName>
    <definedName name="_xlnm.Print_Area" localSheetId="18">'VEE 030=0,9'!$A$1:$V$23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24" i="15" l="1"/>
  <c r="J18" i="15"/>
  <c r="K17" i="15"/>
  <c r="M28" i="15"/>
  <c r="L30" i="15"/>
  <c r="G29" i="15"/>
  <c r="G28" i="15"/>
  <c r="L28" i="15"/>
  <c r="F35" i="15"/>
  <c r="D35" i="15"/>
  <c r="J22" i="15"/>
  <c r="E24" i="15"/>
  <c r="K40" i="18" l="1"/>
  <c r="T40" i="18" s="1"/>
  <c r="T39" i="18"/>
  <c r="S39" i="18" s="1"/>
  <c r="W39" i="18" s="1"/>
  <c r="K39" i="18"/>
  <c r="V39" i="18" s="1"/>
  <c r="T38" i="18"/>
  <c r="U38" i="18" s="1"/>
  <c r="K37" i="18"/>
  <c r="T37" i="18" s="1"/>
  <c r="K38" i="18"/>
  <c r="H10" i="5"/>
  <c r="E16" i="15" s="1"/>
  <c r="F10" i="5"/>
  <c r="K10" i="5" s="1"/>
  <c r="T51" i="17"/>
  <c r="T49" i="17"/>
  <c r="H50" i="17"/>
  <c r="K50" i="17" s="1"/>
  <c r="T50" i="17" s="1"/>
  <c r="K51" i="17"/>
  <c r="K52" i="17"/>
  <c r="T52" i="17" s="1"/>
  <c r="K53" i="17"/>
  <c r="T53" i="17" s="1"/>
  <c r="K49" i="17"/>
  <c r="R31" i="13"/>
  <c r="V26" i="13"/>
  <c r="V27" i="13"/>
  <c r="V28" i="13"/>
  <c r="V29" i="13"/>
  <c r="V30" i="13"/>
  <c r="R41" i="18"/>
  <c r="R20" i="12"/>
  <c r="S77" i="2"/>
  <c r="U22" i="2"/>
  <c r="R36" i="1"/>
  <c r="U10" i="5" l="1"/>
  <c r="U39" i="18"/>
  <c r="Q53" i="11"/>
  <c r="R53" i="11"/>
  <c r="R29" i="10"/>
  <c r="R77" i="3"/>
  <c r="V40" i="3"/>
  <c r="V41" i="3"/>
  <c r="T52" i="4"/>
  <c r="U55" i="4"/>
  <c r="T55" i="4" s="1"/>
  <c r="U54" i="4"/>
  <c r="T54" i="4" s="1"/>
  <c r="U53" i="4"/>
  <c r="T53" i="4" s="1"/>
  <c r="U52" i="4"/>
  <c r="V23" i="4" l="1"/>
  <c r="S62" i="4"/>
  <c r="S30" i="5"/>
  <c r="J17" i="15" l="1"/>
  <c r="K27" i="10"/>
  <c r="K51" i="11"/>
  <c r="V51" i="11" l="1"/>
  <c r="T51" i="11"/>
  <c r="U51" i="11" s="1"/>
  <c r="T27" i="10"/>
  <c r="S27" i="10" s="1"/>
  <c r="V27" i="10"/>
  <c r="S51" i="11"/>
  <c r="W27" i="10"/>
  <c r="U27" i="10"/>
  <c r="H27" i="5"/>
  <c r="L31" i="15" l="1"/>
  <c r="K32" i="15"/>
  <c r="L32" i="15" s="1"/>
  <c r="K33" i="15"/>
  <c r="K34" i="15"/>
  <c r="K29" i="15"/>
  <c r="J33" i="15"/>
  <c r="L33" i="15" s="1"/>
  <c r="J34" i="15"/>
  <c r="J29" i="15"/>
  <c r="G30" i="15"/>
  <c r="M30" i="15" s="1"/>
  <c r="G31" i="15"/>
  <c r="M31" i="15" s="1"/>
  <c r="G32" i="15"/>
  <c r="M32" i="15" s="1"/>
  <c r="G33" i="15"/>
  <c r="M33" i="15" s="1"/>
  <c r="G34" i="15"/>
  <c r="E35" i="15"/>
  <c r="H35" i="15"/>
  <c r="I35" i="15"/>
  <c r="L34" i="15" l="1"/>
  <c r="M34" i="15" s="1"/>
  <c r="K35" i="15"/>
  <c r="G35" i="15"/>
  <c r="J35" i="15"/>
  <c r="L29" i="15"/>
  <c r="L22" i="15"/>
  <c r="K26" i="15"/>
  <c r="L15" i="15"/>
  <c r="L16" i="15"/>
  <c r="L17" i="15"/>
  <c r="L18" i="15"/>
  <c r="L19" i="15"/>
  <c r="L20" i="15"/>
  <c r="L21" i="15"/>
  <c r="L23" i="15"/>
  <c r="L24" i="15"/>
  <c r="L25" i="15"/>
  <c r="L14" i="15"/>
  <c r="J26" i="15"/>
  <c r="X56" i="17"/>
  <c r="K76" i="2"/>
  <c r="P77" i="2"/>
  <c r="H77" i="2"/>
  <c r="L35" i="15" l="1"/>
  <c r="M29" i="15"/>
  <c r="M35" i="15" s="1"/>
  <c r="W76" i="2"/>
  <c r="U76" i="2"/>
  <c r="T76" i="2" s="1"/>
  <c r="J37" i="15"/>
  <c r="K37" i="15"/>
  <c r="L26" i="15"/>
  <c r="L37" i="15" s="1"/>
  <c r="G23" i="15"/>
  <c r="G15" i="15"/>
  <c r="G14" i="15"/>
  <c r="M14" i="15" l="1"/>
  <c r="M23" i="15"/>
  <c r="M15" i="15"/>
  <c r="Q41" i="18"/>
  <c r="F41" i="18"/>
  <c r="Q20" i="12"/>
  <c r="R77" i="2"/>
  <c r="G69" i="4"/>
  <c r="Q77" i="3"/>
  <c r="O77" i="3"/>
  <c r="F77" i="3"/>
  <c r="F62" i="4"/>
  <c r="G70" i="4"/>
  <c r="E70" i="4"/>
  <c r="Q30" i="5"/>
  <c r="R78" i="2" l="1"/>
  <c r="R79" i="2" s="1"/>
  <c r="H41" i="18"/>
  <c r="Q20" i="20"/>
  <c r="P20" i="20"/>
  <c r="O20" i="20"/>
  <c r="J20" i="20"/>
  <c r="J21" i="20" s="1"/>
  <c r="I20" i="20"/>
  <c r="H20" i="20"/>
  <c r="H21" i="20" s="1"/>
  <c r="H22" i="20" s="1"/>
  <c r="G20" i="20"/>
  <c r="F20" i="20"/>
  <c r="V19" i="20"/>
  <c r="W19" i="20" s="1"/>
  <c r="T19" i="20"/>
  <c r="K19" i="20"/>
  <c r="T10" i="20"/>
  <c r="K10" i="20"/>
  <c r="H47" i="17"/>
  <c r="K50" i="11"/>
  <c r="O40" i="17"/>
  <c r="T40" i="17" s="1"/>
  <c r="K42" i="17"/>
  <c r="O42" i="17" s="1"/>
  <c r="T39" i="17"/>
  <c r="O39" i="17"/>
  <c r="K41" i="17"/>
  <c r="O41" i="17" s="1"/>
  <c r="T41" i="17" s="1"/>
  <c r="T50" i="11" l="1"/>
  <c r="V50" i="11" s="1"/>
  <c r="K20" i="20"/>
  <c r="K22" i="20" s="1"/>
  <c r="T42" i="17"/>
  <c r="K41" i="18"/>
  <c r="W10" i="20"/>
  <c r="O21" i="20"/>
  <c r="O22" i="20" s="1"/>
  <c r="P21" i="20"/>
  <c r="P22" i="20" s="1"/>
  <c r="K21" i="20"/>
  <c r="U10" i="20"/>
  <c r="F21" i="20"/>
  <c r="F22" i="20" s="1"/>
  <c r="S20" i="20"/>
  <c r="E29" i="20" s="1"/>
  <c r="S50" i="11"/>
  <c r="H31" i="17"/>
  <c r="K44" i="17"/>
  <c r="T44" i="17" s="1"/>
  <c r="K45" i="17"/>
  <c r="T45" i="17" s="1"/>
  <c r="K46" i="17"/>
  <c r="T46" i="17" s="1"/>
  <c r="K47" i="17"/>
  <c r="T47" i="17" s="1"/>
  <c r="K48" i="17"/>
  <c r="T48" i="17" s="1"/>
  <c r="K54" i="17"/>
  <c r="T54" i="17" s="1"/>
  <c r="K55" i="17"/>
  <c r="T55" i="17" s="1"/>
  <c r="K43" i="17"/>
  <c r="T43" i="17" s="1"/>
  <c r="K33" i="17"/>
  <c r="O33" i="17" s="1"/>
  <c r="K32" i="17"/>
  <c r="H35" i="17"/>
  <c r="K35" i="17" s="1"/>
  <c r="H34" i="17"/>
  <c r="K34" i="17" s="1"/>
  <c r="T34" i="17" s="1"/>
  <c r="E22" i="15" l="1"/>
  <c r="U50" i="11"/>
  <c r="S38" i="18"/>
  <c r="W38" i="18" s="1"/>
  <c r="O35" i="17"/>
  <c r="T35" i="17"/>
  <c r="H60" i="4"/>
  <c r="K60" i="4" s="1"/>
  <c r="T33" i="17"/>
  <c r="V33" i="17" s="1"/>
  <c r="K31" i="17"/>
  <c r="H56" i="17"/>
  <c r="T20" i="20"/>
  <c r="W20" i="20"/>
  <c r="U20" i="20"/>
  <c r="H23" i="15" s="1"/>
  <c r="I23" i="15" s="1"/>
  <c r="V34" i="17"/>
  <c r="O26" i="17"/>
  <c r="T26" i="17" s="1"/>
  <c r="O32" i="17"/>
  <c r="T32" i="17" s="1"/>
  <c r="O15" i="17"/>
  <c r="T15" i="17" s="1"/>
  <c r="O38" i="17"/>
  <c r="T38" i="17" s="1"/>
  <c r="O37" i="17"/>
  <c r="T37" i="17" s="1"/>
  <c r="O36" i="17"/>
  <c r="T36" i="17" s="1"/>
  <c r="O16" i="17"/>
  <c r="T16" i="17" s="1"/>
  <c r="K59" i="4"/>
  <c r="H58" i="4"/>
  <c r="K58" i="4" s="1"/>
  <c r="R62" i="4"/>
  <c r="P62" i="4"/>
  <c r="O14" i="17"/>
  <c r="T14" i="17" s="1"/>
  <c r="H57" i="4"/>
  <c r="K57" i="4" s="1"/>
  <c r="O21" i="17"/>
  <c r="T21" i="17" s="1"/>
  <c r="O22" i="17"/>
  <c r="T22" i="17" s="1"/>
  <c r="O23" i="17"/>
  <c r="T23" i="17" s="1"/>
  <c r="O24" i="17"/>
  <c r="T24" i="17" s="1"/>
  <c r="O20" i="17"/>
  <c r="T20" i="17" s="1"/>
  <c r="O13" i="17"/>
  <c r="T13" i="17" s="1"/>
  <c r="F30" i="5"/>
  <c r="K61" i="4"/>
  <c r="H56" i="4"/>
  <c r="K56" i="4" s="1"/>
  <c r="O12" i="17"/>
  <c r="T12" i="17" s="1"/>
  <c r="O30" i="17"/>
  <c r="T30" i="17" s="1"/>
  <c r="O29" i="17"/>
  <c r="T29" i="17" s="1"/>
  <c r="O28" i="17"/>
  <c r="O27" i="17"/>
  <c r="T27" i="17" s="1"/>
  <c r="O10" i="17"/>
  <c r="T17" i="17"/>
  <c r="T18" i="17"/>
  <c r="T19" i="17"/>
  <c r="T31" i="17"/>
  <c r="O25" i="17"/>
  <c r="T25" i="17" s="1"/>
  <c r="O11" i="17"/>
  <c r="T11" i="17" s="1"/>
  <c r="H49" i="11"/>
  <c r="H53" i="11" s="1"/>
  <c r="K27" i="5"/>
  <c r="W59" i="4" l="1"/>
  <c r="U59" i="4"/>
  <c r="T59" i="4" s="1"/>
  <c r="E30" i="20"/>
  <c r="S37" i="18"/>
  <c r="W37" i="18" s="1"/>
  <c r="X38" i="18"/>
  <c r="V38" i="18"/>
  <c r="U58" i="4"/>
  <c r="T58" i="4" s="1"/>
  <c r="K56" i="17"/>
  <c r="U56" i="4"/>
  <c r="T56" i="4" s="1"/>
  <c r="W56" i="4"/>
  <c r="U57" i="4"/>
  <c r="T57" i="4" s="1"/>
  <c r="U60" i="4"/>
  <c r="W60" i="4" s="1"/>
  <c r="T10" i="17"/>
  <c r="O56" i="17"/>
  <c r="G22" i="15"/>
  <c r="M22" i="15" s="1"/>
  <c r="U27" i="5"/>
  <c r="W27" i="5" s="1"/>
  <c r="K49" i="11"/>
  <c r="V59" i="4"/>
  <c r="H62" i="4"/>
  <c r="T21" i="20"/>
  <c r="T22" i="20" s="1"/>
  <c r="U21" i="20"/>
  <c r="U22" i="20" s="1"/>
  <c r="V20" i="20"/>
  <c r="R20" i="20"/>
  <c r="V76" i="2"/>
  <c r="H30" i="5"/>
  <c r="T28" i="17"/>
  <c r="T49" i="11" l="1"/>
  <c r="S49" i="11" s="1"/>
  <c r="V49" i="11"/>
  <c r="W58" i="4"/>
  <c r="V37" i="18"/>
  <c r="T27" i="5"/>
  <c r="X27" i="5" s="1"/>
  <c r="Y27" i="5" s="1"/>
  <c r="V27" i="5"/>
  <c r="W57" i="4"/>
  <c r="V57" i="4"/>
  <c r="V58" i="4"/>
  <c r="T56" i="17"/>
  <c r="H22" i="15" s="1"/>
  <c r="I22" i="15" s="1"/>
  <c r="T60" i="4"/>
  <c r="V60" i="4"/>
  <c r="F35" i="5"/>
  <c r="H31" i="5"/>
  <c r="X76" i="2"/>
  <c r="U49" i="11"/>
  <c r="V56" i="4" l="1"/>
  <c r="K15" i="13"/>
  <c r="Q31" i="13"/>
  <c r="Q32" i="13" s="1"/>
  <c r="Q33" i="13" s="1"/>
  <c r="K12" i="13"/>
  <c r="T12" i="13" s="1"/>
  <c r="V12" i="13" s="1"/>
  <c r="K13" i="13"/>
  <c r="K14" i="13"/>
  <c r="K16" i="13"/>
  <c r="K17" i="13"/>
  <c r="K18" i="13"/>
  <c r="K19" i="13"/>
  <c r="K20" i="13"/>
  <c r="K21" i="13"/>
  <c r="K22" i="13"/>
  <c r="K23" i="13"/>
  <c r="K24" i="13"/>
  <c r="K25" i="13"/>
  <c r="K11" i="13"/>
  <c r="K10" i="13"/>
  <c r="T10" i="13" s="1"/>
  <c r="U10" i="13" s="1"/>
  <c r="V40" i="18"/>
  <c r="Q42" i="18"/>
  <c r="Q43" i="18" s="1"/>
  <c r="U11" i="18"/>
  <c r="U10" i="18"/>
  <c r="U11" i="12"/>
  <c r="K11" i="12"/>
  <c r="V11" i="12" s="1"/>
  <c r="U10" i="12"/>
  <c r="K12" i="12"/>
  <c r="V12" i="12" s="1"/>
  <c r="K13" i="12"/>
  <c r="K14" i="12"/>
  <c r="K15" i="12"/>
  <c r="K16" i="12"/>
  <c r="K17" i="12"/>
  <c r="K18" i="12"/>
  <c r="K19" i="12"/>
  <c r="K10" i="12"/>
  <c r="V10" i="12" s="1"/>
  <c r="U12" i="12"/>
  <c r="U19" i="12"/>
  <c r="K20" i="2"/>
  <c r="V12" i="2"/>
  <c r="V13" i="2"/>
  <c r="V14" i="2"/>
  <c r="V15" i="2"/>
  <c r="V11" i="2"/>
  <c r="V10" i="2"/>
  <c r="U13" i="1"/>
  <c r="U14" i="1"/>
  <c r="U15" i="1"/>
  <c r="U16" i="1"/>
  <c r="U17" i="1"/>
  <c r="U18" i="1"/>
  <c r="U19" i="1"/>
  <c r="U22" i="1"/>
  <c r="U12" i="1"/>
  <c r="U11" i="1"/>
  <c r="Q36" i="1"/>
  <c r="K11" i="11"/>
  <c r="T11" i="11" s="1"/>
  <c r="V12" i="4"/>
  <c r="V13" i="4"/>
  <c r="V14" i="4"/>
  <c r="V15" i="4"/>
  <c r="V16" i="4"/>
  <c r="V17" i="4"/>
  <c r="V18" i="4"/>
  <c r="V19" i="4"/>
  <c r="V20" i="4"/>
  <c r="V21" i="4"/>
  <c r="V22" i="4"/>
  <c r="V24" i="4"/>
  <c r="V25" i="4"/>
  <c r="V27" i="4"/>
  <c r="V11" i="4"/>
  <c r="V10" i="4"/>
  <c r="U10" i="10"/>
  <c r="K48" i="11"/>
  <c r="K40" i="11"/>
  <c r="T40" i="11" s="1"/>
  <c r="V40" i="11" s="1"/>
  <c r="Q29" i="10"/>
  <c r="E71" i="4" s="1"/>
  <c r="E72" i="4" s="1"/>
  <c r="K12" i="10"/>
  <c r="V12" i="10" s="1"/>
  <c r="K13" i="10"/>
  <c r="V13" i="10" s="1"/>
  <c r="K14" i="10"/>
  <c r="V14" i="10" s="1"/>
  <c r="K15" i="10"/>
  <c r="V15" i="10" s="1"/>
  <c r="K16" i="10"/>
  <c r="V16" i="10" s="1"/>
  <c r="K17" i="10"/>
  <c r="V17" i="10" s="1"/>
  <c r="K18" i="10"/>
  <c r="V18" i="10" s="1"/>
  <c r="K19" i="10"/>
  <c r="K20" i="10"/>
  <c r="V20" i="10" s="1"/>
  <c r="K21" i="10"/>
  <c r="V21" i="10" s="1"/>
  <c r="K22" i="10"/>
  <c r="V22" i="10" s="1"/>
  <c r="K23" i="10"/>
  <c r="K24" i="10"/>
  <c r="K25" i="10"/>
  <c r="K26" i="10"/>
  <c r="K11" i="10"/>
  <c r="V11" i="10" s="1"/>
  <c r="K10" i="10"/>
  <c r="G78" i="3"/>
  <c r="L78" i="3"/>
  <c r="M78" i="3"/>
  <c r="N78" i="3"/>
  <c r="O78" i="3"/>
  <c r="F78" i="3"/>
  <c r="H63" i="4"/>
  <c r="F63" i="4"/>
  <c r="F64" i="4" s="1"/>
  <c r="T19" i="10" l="1"/>
  <c r="V19" i="10" s="1"/>
  <c r="T48" i="11"/>
  <c r="V48" i="11" s="1"/>
  <c r="T17" i="12"/>
  <c r="V17" i="12" s="1"/>
  <c r="T22" i="13"/>
  <c r="V22" i="13"/>
  <c r="V16" i="13"/>
  <c r="T15" i="13"/>
  <c r="V15" i="13"/>
  <c r="T18" i="13"/>
  <c r="V18" i="13"/>
  <c r="T16" i="12"/>
  <c r="V16" i="12"/>
  <c r="T21" i="13"/>
  <c r="U21" i="13" s="1"/>
  <c r="V21" i="13"/>
  <c r="T16" i="13"/>
  <c r="V18" i="12"/>
  <c r="T18" i="12"/>
  <c r="T23" i="13"/>
  <c r="V23" i="13" s="1"/>
  <c r="T15" i="12"/>
  <c r="V15" i="12"/>
  <c r="T20" i="13"/>
  <c r="U20" i="13" s="1"/>
  <c r="V20" i="13"/>
  <c r="T13" i="13"/>
  <c r="U13" i="13" s="1"/>
  <c r="T17" i="13"/>
  <c r="U17" i="13" s="1"/>
  <c r="V17" i="13"/>
  <c r="T25" i="13"/>
  <c r="V25" i="13" s="1"/>
  <c r="T19" i="13"/>
  <c r="U19" i="13" s="1"/>
  <c r="V19" i="13"/>
  <c r="U40" i="18"/>
  <c r="U23" i="13"/>
  <c r="U22" i="13"/>
  <c r="U18" i="13"/>
  <c r="T24" i="13"/>
  <c r="U24" i="13" s="1"/>
  <c r="T11" i="13"/>
  <c r="U11" i="13" s="1"/>
  <c r="U25" i="13"/>
  <c r="V10" i="13"/>
  <c r="T14" i="13"/>
  <c r="U14" i="13" s="1"/>
  <c r="V11" i="11"/>
  <c r="U11" i="11"/>
  <c r="Q30" i="10"/>
  <c r="Q31" i="10" s="1"/>
  <c r="Q78" i="3"/>
  <c r="Q79" i="3" s="1"/>
  <c r="X56" i="4"/>
  <c r="U37" i="18"/>
  <c r="X37" i="18" s="1"/>
  <c r="U40" i="11"/>
  <c r="U12" i="13"/>
  <c r="Q37" i="1"/>
  <c r="Q38" i="1" s="1"/>
  <c r="V10" i="10"/>
  <c r="R63" i="4"/>
  <c r="R64" i="4" s="1"/>
  <c r="R30" i="5"/>
  <c r="K11" i="5"/>
  <c r="K25" i="5"/>
  <c r="U25" i="5" l="1"/>
  <c r="W25" i="5" s="1"/>
  <c r="U11" i="5"/>
  <c r="V13" i="13"/>
  <c r="V24" i="13"/>
  <c r="V11" i="13"/>
  <c r="V14" i="13"/>
  <c r="U48" i="11"/>
  <c r="S48" i="11"/>
  <c r="F37" i="5"/>
  <c r="F38" i="5" s="1"/>
  <c r="F39" i="5" s="1"/>
  <c r="R31" i="5"/>
  <c r="R32" i="5" s="1"/>
  <c r="V11" i="5" l="1"/>
  <c r="T11" i="5"/>
  <c r="W11" i="5"/>
  <c r="V25" i="5"/>
  <c r="T25" i="5"/>
  <c r="V10" i="5"/>
  <c r="T10" i="5"/>
  <c r="W10" i="5"/>
  <c r="H57" i="17"/>
  <c r="F56" i="17" l="1"/>
  <c r="F57" i="17" s="1"/>
  <c r="T57" i="17"/>
  <c r="K57" i="17" l="1"/>
  <c r="U10" i="19"/>
  <c r="U15" i="19" s="1"/>
  <c r="V15" i="19"/>
  <c r="T15" i="19"/>
  <c r="S15" i="19"/>
  <c r="R15" i="19"/>
  <c r="P15" i="19"/>
  <c r="O15" i="19"/>
  <c r="O16" i="19" s="1"/>
  <c r="N15" i="19"/>
  <c r="M15" i="19"/>
  <c r="L15" i="19"/>
  <c r="K15" i="19"/>
  <c r="J15" i="19"/>
  <c r="J16" i="19" s="1"/>
  <c r="K16" i="19" s="1"/>
  <c r="I15" i="19"/>
  <c r="H15" i="19"/>
  <c r="H17" i="19" s="1"/>
  <c r="G15" i="19"/>
  <c r="F15" i="19"/>
  <c r="F17" i="19" s="1"/>
  <c r="W12" i="19"/>
  <c r="W11" i="19"/>
  <c r="W10" i="19" l="1"/>
  <c r="W15" i="19" s="1"/>
  <c r="P16" i="19"/>
  <c r="P17" i="19" s="1"/>
  <c r="T16" i="19"/>
  <c r="U16" i="19" s="1"/>
  <c r="U17" i="19" s="1"/>
  <c r="K17" i="19"/>
  <c r="O17" i="19"/>
  <c r="T17" i="19" l="1"/>
  <c r="I62" i="17"/>
  <c r="S25" i="18" l="1"/>
  <c r="S26" i="18"/>
  <c r="S27" i="18"/>
  <c r="S28" i="18"/>
  <c r="S29" i="18"/>
  <c r="T23" i="10"/>
  <c r="V23" i="10" s="1"/>
  <c r="F53" i="11" l="1"/>
  <c r="H54" i="11"/>
  <c r="K47" i="11"/>
  <c r="O53" i="11"/>
  <c r="K10" i="11"/>
  <c r="W28" i="18"/>
  <c r="W26" i="18"/>
  <c r="W25" i="18"/>
  <c r="P22" i="18"/>
  <c r="O41" i="18"/>
  <c r="O42" i="18" s="1"/>
  <c r="J41" i="18"/>
  <c r="G41" i="18"/>
  <c r="K36" i="18"/>
  <c r="K35" i="18"/>
  <c r="K34" i="18"/>
  <c r="K33" i="18"/>
  <c r="K32" i="18"/>
  <c r="K31" i="18"/>
  <c r="K30" i="18"/>
  <c r="W29" i="18"/>
  <c r="K29" i="18"/>
  <c r="K28" i="18"/>
  <c r="W27" i="18"/>
  <c r="K27" i="18"/>
  <c r="K26" i="18"/>
  <c r="K25" i="18"/>
  <c r="P24" i="18"/>
  <c r="K24" i="18"/>
  <c r="P23" i="18"/>
  <c r="K23" i="18"/>
  <c r="K22" i="18"/>
  <c r="P21" i="18"/>
  <c r="K21" i="18"/>
  <c r="P20" i="18"/>
  <c r="K20" i="18"/>
  <c r="P19" i="18"/>
  <c r="K19" i="18"/>
  <c r="P18" i="18"/>
  <c r="K18" i="18"/>
  <c r="P17" i="18"/>
  <c r="K17" i="18"/>
  <c r="S16" i="18"/>
  <c r="W16" i="18" s="1"/>
  <c r="P16" i="18"/>
  <c r="U16" i="18" s="1"/>
  <c r="K16" i="18"/>
  <c r="V16" i="18" s="1"/>
  <c r="S15" i="18"/>
  <c r="W15" i="18" s="1"/>
  <c r="P15" i="18"/>
  <c r="U15" i="18" s="1"/>
  <c r="K15" i="18"/>
  <c r="V15" i="18" s="1"/>
  <c r="S14" i="18"/>
  <c r="W14" i="18" s="1"/>
  <c r="P14" i="18"/>
  <c r="U14" i="18" s="1"/>
  <c r="K14" i="18"/>
  <c r="V14" i="18" s="1"/>
  <c r="S13" i="18"/>
  <c r="W13" i="18" s="1"/>
  <c r="P13" i="18"/>
  <c r="U13" i="18" s="1"/>
  <c r="K13" i="18"/>
  <c r="V13" i="18" s="1"/>
  <c r="S12" i="18"/>
  <c r="W12" i="18" s="1"/>
  <c r="P12" i="18"/>
  <c r="U12" i="18" s="1"/>
  <c r="K12" i="18"/>
  <c r="V12" i="18" s="1"/>
  <c r="X11" i="18"/>
  <c r="S11" i="18"/>
  <c r="K11" i="18"/>
  <c r="V11" i="18" s="1"/>
  <c r="X10" i="18"/>
  <c r="S10" i="18"/>
  <c r="K10" i="18"/>
  <c r="V10" i="18" s="1"/>
  <c r="T24" i="10"/>
  <c r="V24" i="10" s="1"/>
  <c r="U70" i="2"/>
  <c r="K12" i="2"/>
  <c r="W12" i="2" s="1"/>
  <c r="K13" i="2"/>
  <c r="W13" i="2" s="1"/>
  <c r="K14" i="2"/>
  <c r="W14" i="2" s="1"/>
  <c r="K15" i="2"/>
  <c r="W15" i="2" s="1"/>
  <c r="K16" i="2"/>
  <c r="W16" i="2" s="1"/>
  <c r="K17" i="2"/>
  <c r="W17" i="2" s="1"/>
  <c r="K18" i="2"/>
  <c r="W18" i="2" s="1"/>
  <c r="K19" i="2"/>
  <c r="W19" i="2" s="1"/>
  <c r="K21" i="2"/>
  <c r="K22" i="2"/>
  <c r="W22" i="2" s="1"/>
  <c r="K23" i="2"/>
  <c r="K24" i="2"/>
  <c r="K25" i="2"/>
  <c r="K26" i="2"/>
  <c r="K27" i="2"/>
  <c r="K28" i="2"/>
  <c r="K29" i="2"/>
  <c r="K30" i="2"/>
  <c r="K31" i="2"/>
  <c r="K32" i="2"/>
  <c r="W32" i="2" s="1"/>
  <c r="K33" i="2"/>
  <c r="W33" i="2" s="1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W70" i="2" s="1"/>
  <c r="K71" i="2"/>
  <c r="K72" i="2"/>
  <c r="K73" i="2"/>
  <c r="K74" i="2"/>
  <c r="K75" i="2"/>
  <c r="K11" i="2"/>
  <c r="W11" i="2" s="1"/>
  <c r="K10" i="2"/>
  <c r="K13" i="1"/>
  <c r="V13" i="1" s="1"/>
  <c r="K14" i="1"/>
  <c r="V14" i="1" s="1"/>
  <c r="K15" i="1"/>
  <c r="V15" i="1" s="1"/>
  <c r="K16" i="1"/>
  <c r="V16" i="1" s="1"/>
  <c r="K17" i="1"/>
  <c r="V17" i="1" s="1"/>
  <c r="K18" i="1"/>
  <c r="V18" i="1" s="1"/>
  <c r="K19" i="1"/>
  <c r="V19" i="1" s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12" i="1"/>
  <c r="V12" i="1" s="1"/>
  <c r="K11" i="1"/>
  <c r="V11" i="1" s="1"/>
  <c r="K12" i="11"/>
  <c r="K13" i="11"/>
  <c r="K14" i="11"/>
  <c r="K15" i="11"/>
  <c r="K16" i="11"/>
  <c r="T16" i="11" s="1"/>
  <c r="K17" i="11"/>
  <c r="T17" i="11" s="1"/>
  <c r="K18" i="11"/>
  <c r="K19" i="11"/>
  <c r="K20" i="11"/>
  <c r="K21" i="11"/>
  <c r="K22" i="11"/>
  <c r="K23" i="11"/>
  <c r="K24" i="11"/>
  <c r="T24" i="11" s="1"/>
  <c r="K25" i="11"/>
  <c r="T25" i="11" s="1"/>
  <c r="K26" i="11"/>
  <c r="K27" i="11"/>
  <c r="K28" i="11"/>
  <c r="K29" i="11"/>
  <c r="K30" i="11"/>
  <c r="K31" i="11"/>
  <c r="K32" i="11"/>
  <c r="T32" i="11" s="1"/>
  <c r="K33" i="11"/>
  <c r="T33" i="11" s="1"/>
  <c r="K34" i="11"/>
  <c r="K35" i="11"/>
  <c r="K36" i="11"/>
  <c r="K37" i="11"/>
  <c r="K38" i="11"/>
  <c r="K39" i="11"/>
  <c r="K41" i="11"/>
  <c r="T41" i="11" s="1"/>
  <c r="K42" i="11"/>
  <c r="K43" i="11"/>
  <c r="K44" i="11"/>
  <c r="K45" i="11"/>
  <c r="K46" i="11"/>
  <c r="V46" i="11" s="1"/>
  <c r="F79" i="3"/>
  <c r="H77" i="3"/>
  <c r="H78" i="3" s="1"/>
  <c r="K71" i="3"/>
  <c r="K12" i="3"/>
  <c r="T12" i="3" s="1"/>
  <c r="V12" i="3" s="1"/>
  <c r="K13" i="3"/>
  <c r="T13" i="3" s="1"/>
  <c r="V13" i="3" s="1"/>
  <c r="K14" i="3"/>
  <c r="T14" i="3" s="1"/>
  <c r="V14" i="3" s="1"/>
  <c r="K15" i="3"/>
  <c r="T15" i="3" s="1"/>
  <c r="V15" i="3" s="1"/>
  <c r="K16" i="3"/>
  <c r="T16" i="3" s="1"/>
  <c r="V16" i="3" s="1"/>
  <c r="K17" i="3"/>
  <c r="T17" i="3" s="1"/>
  <c r="V17" i="3" s="1"/>
  <c r="K18" i="3"/>
  <c r="T18" i="3" s="1"/>
  <c r="V18" i="3" s="1"/>
  <c r="K19" i="3"/>
  <c r="T19" i="3" s="1"/>
  <c r="V19" i="3" s="1"/>
  <c r="K20" i="3"/>
  <c r="T20" i="3" s="1"/>
  <c r="V20" i="3" s="1"/>
  <c r="K21" i="3"/>
  <c r="T21" i="3" s="1"/>
  <c r="V21" i="3" s="1"/>
  <c r="K22" i="3"/>
  <c r="T22" i="3" s="1"/>
  <c r="V22" i="3" s="1"/>
  <c r="K23" i="3"/>
  <c r="T23" i="3" s="1"/>
  <c r="V23" i="3" s="1"/>
  <c r="K24" i="3"/>
  <c r="T24" i="3" s="1"/>
  <c r="V24" i="3" s="1"/>
  <c r="K25" i="3"/>
  <c r="T25" i="3" s="1"/>
  <c r="V25" i="3" s="1"/>
  <c r="K26" i="3"/>
  <c r="T26" i="3" s="1"/>
  <c r="V26" i="3" s="1"/>
  <c r="K27" i="3"/>
  <c r="T27" i="3" s="1"/>
  <c r="V27" i="3" s="1"/>
  <c r="K28" i="3"/>
  <c r="T28" i="3" s="1"/>
  <c r="V28" i="3" s="1"/>
  <c r="K29" i="3"/>
  <c r="T29" i="3" s="1"/>
  <c r="V29" i="3" s="1"/>
  <c r="K30" i="3"/>
  <c r="T30" i="3" s="1"/>
  <c r="V30" i="3" s="1"/>
  <c r="K31" i="3"/>
  <c r="T31" i="3" s="1"/>
  <c r="V31" i="3" s="1"/>
  <c r="K32" i="3"/>
  <c r="T32" i="3" s="1"/>
  <c r="V32" i="3" s="1"/>
  <c r="K33" i="3"/>
  <c r="T33" i="3" s="1"/>
  <c r="V33" i="3" s="1"/>
  <c r="K34" i="3"/>
  <c r="T34" i="3" s="1"/>
  <c r="V34" i="3" s="1"/>
  <c r="K35" i="3"/>
  <c r="T35" i="3" s="1"/>
  <c r="V35" i="3" s="1"/>
  <c r="K36" i="3"/>
  <c r="T36" i="3" s="1"/>
  <c r="V36" i="3" s="1"/>
  <c r="K37" i="3"/>
  <c r="T37" i="3" s="1"/>
  <c r="V37" i="3" s="1"/>
  <c r="K38" i="3"/>
  <c r="T38" i="3" s="1"/>
  <c r="V38" i="3" s="1"/>
  <c r="K39" i="3"/>
  <c r="T39" i="3" s="1"/>
  <c r="V39" i="3" s="1"/>
  <c r="K40" i="3"/>
  <c r="K41" i="3"/>
  <c r="K42" i="3"/>
  <c r="T42" i="3" s="1"/>
  <c r="V42" i="3" s="1"/>
  <c r="K43" i="3"/>
  <c r="T43" i="3" s="1"/>
  <c r="V43" i="3" s="1"/>
  <c r="K44" i="3"/>
  <c r="T44" i="3" s="1"/>
  <c r="V44" i="3" s="1"/>
  <c r="K45" i="3"/>
  <c r="T45" i="3" s="1"/>
  <c r="V45" i="3" s="1"/>
  <c r="K46" i="3"/>
  <c r="T46" i="3" s="1"/>
  <c r="V46" i="3" s="1"/>
  <c r="K47" i="3"/>
  <c r="T47" i="3" s="1"/>
  <c r="V47" i="3" s="1"/>
  <c r="K48" i="3"/>
  <c r="T48" i="3" s="1"/>
  <c r="V48" i="3" s="1"/>
  <c r="K49" i="3"/>
  <c r="T49" i="3" s="1"/>
  <c r="V49" i="3" s="1"/>
  <c r="K50" i="3"/>
  <c r="T50" i="3" s="1"/>
  <c r="V50" i="3" s="1"/>
  <c r="K51" i="3"/>
  <c r="T51" i="3" s="1"/>
  <c r="V51" i="3" s="1"/>
  <c r="K52" i="3"/>
  <c r="T52" i="3" s="1"/>
  <c r="V52" i="3" s="1"/>
  <c r="K53" i="3"/>
  <c r="T53" i="3" s="1"/>
  <c r="V53" i="3" s="1"/>
  <c r="K54" i="3"/>
  <c r="T54" i="3" s="1"/>
  <c r="V54" i="3" s="1"/>
  <c r="K55" i="3"/>
  <c r="T55" i="3" s="1"/>
  <c r="K56" i="3"/>
  <c r="T56" i="3" s="1"/>
  <c r="V56" i="3" s="1"/>
  <c r="K57" i="3"/>
  <c r="T57" i="3" s="1"/>
  <c r="V57" i="3" s="1"/>
  <c r="K58" i="3"/>
  <c r="T58" i="3" s="1"/>
  <c r="V58" i="3" s="1"/>
  <c r="K59" i="3"/>
  <c r="T59" i="3" s="1"/>
  <c r="V59" i="3" s="1"/>
  <c r="K60" i="3"/>
  <c r="T60" i="3" s="1"/>
  <c r="K61" i="3"/>
  <c r="T61" i="3" s="1"/>
  <c r="V61" i="3" s="1"/>
  <c r="K62" i="3"/>
  <c r="T62" i="3" s="1"/>
  <c r="V62" i="3" s="1"/>
  <c r="K63" i="3"/>
  <c r="T63" i="3" s="1"/>
  <c r="V63" i="3" s="1"/>
  <c r="K64" i="3"/>
  <c r="T64" i="3" s="1"/>
  <c r="V64" i="3" s="1"/>
  <c r="K65" i="3"/>
  <c r="T65" i="3" s="1"/>
  <c r="V65" i="3" s="1"/>
  <c r="K66" i="3"/>
  <c r="T66" i="3" s="1"/>
  <c r="V66" i="3" s="1"/>
  <c r="K67" i="3"/>
  <c r="T67" i="3" s="1"/>
  <c r="V67" i="3" s="1"/>
  <c r="K68" i="3"/>
  <c r="T68" i="3" s="1"/>
  <c r="V68" i="3" s="1"/>
  <c r="K69" i="3"/>
  <c r="T69" i="3" s="1"/>
  <c r="V69" i="3" s="1"/>
  <c r="K70" i="3"/>
  <c r="T70" i="3" s="1"/>
  <c r="V70" i="3" s="1"/>
  <c r="K72" i="3"/>
  <c r="K73" i="3"/>
  <c r="T73" i="3" s="1"/>
  <c r="K74" i="3"/>
  <c r="T74" i="3" s="1"/>
  <c r="K75" i="3"/>
  <c r="K11" i="3"/>
  <c r="T11" i="3" s="1"/>
  <c r="V11" i="3" s="1"/>
  <c r="K10" i="3"/>
  <c r="P63" i="4"/>
  <c r="K63" i="4"/>
  <c r="X54" i="4"/>
  <c r="X55" i="4"/>
  <c r="X52" i="4"/>
  <c r="K52" i="4"/>
  <c r="W52" i="4" s="1"/>
  <c r="K53" i="4"/>
  <c r="W53" i="4" s="1"/>
  <c r="K54" i="4"/>
  <c r="W54" i="4" s="1"/>
  <c r="K55" i="4"/>
  <c r="H64" i="4"/>
  <c r="K12" i="4"/>
  <c r="W12" i="4" s="1"/>
  <c r="K13" i="4"/>
  <c r="W13" i="4" s="1"/>
  <c r="K14" i="4"/>
  <c r="W14" i="4" s="1"/>
  <c r="K15" i="4"/>
  <c r="W15" i="4" s="1"/>
  <c r="K16" i="4"/>
  <c r="W16" i="4" s="1"/>
  <c r="K17" i="4"/>
  <c r="W17" i="4" s="1"/>
  <c r="K18" i="4"/>
  <c r="W18" i="4" s="1"/>
  <c r="K19" i="4"/>
  <c r="W19" i="4" s="1"/>
  <c r="K20" i="4"/>
  <c r="W20" i="4" s="1"/>
  <c r="K21" i="4"/>
  <c r="W21" i="4" s="1"/>
  <c r="K22" i="4"/>
  <c r="W22" i="4" s="1"/>
  <c r="K23" i="4"/>
  <c r="W23" i="4" s="1"/>
  <c r="K24" i="4"/>
  <c r="W24" i="4" s="1"/>
  <c r="K25" i="4"/>
  <c r="W25" i="4" s="1"/>
  <c r="K26" i="4"/>
  <c r="K27" i="4"/>
  <c r="W27" i="4" s="1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11" i="4"/>
  <c r="W11" i="4" s="1"/>
  <c r="K10" i="4"/>
  <c r="K12" i="5"/>
  <c r="K13" i="5"/>
  <c r="K14" i="5"/>
  <c r="K15" i="5"/>
  <c r="K16" i="5"/>
  <c r="K17" i="5"/>
  <c r="K18" i="5"/>
  <c r="K19" i="5"/>
  <c r="K20" i="5"/>
  <c r="K21" i="5"/>
  <c r="K22" i="5"/>
  <c r="K23" i="5"/>
  <c r="K24" i="5"/>
  <c r="K26" i="5"/>
  <c r="K11" i="6"/>
  <c r="U11" i="6" s="1"/>
  <c r="K12" i="6"/>
  <c r="U12" i="6" s="1"/>
  <c r="K13" i="6"/>
  <c r="U13" i="6" s="1"/>
  <c r="K14" i="6"/>
  <c r="U14" i="6" s="1"/>
  <c r="K15" i="6"/>
  <c r="U15" i="6" s="1"/>
  <c r="K16" i="6"/>
  <c r="U16" i="6" s="1"/>
  <c r="K10" i="6"/>
  <c r="U10" i="6" s="1"/>
  <c r="H17" i="6"/>
  <c r="H19" i="6" s="1"/>
  <c r="T20" i="16"/>
  <c r="U20" i="16" s="1"/>
  <c r="U20" i="5" l="1"/>
  <c r="W20" i="5" s="1"/>
  <c r="W14" i="5"/>
  <c r="U14" i="5"/>
  <c r="V14" i="5" s="1"/>
  <c r="U26" i="4"/>
  <c r="W26" i="4" s="1"/>
  <c r="T20" i="1"/>
  <c r="V20" i="1" s="1"/>
  <c r="U15" i="5"/>
  <c r="W15" i="5"/>
  <c r="U26" i="5"/>
  <c r="U19" i="5"/>
  <c r="W13" i="5"/>
  <c r="U13" i="5"/>
  <c r="U43" i="4"/>
  <c r="T43" i="4" s="1"/>
  <c r="U73" i="3"/>
  <c r="V73" i="3"/>
  <c r="U18" i="5"/>
  <c r="U12" i="5"/>
  <c r="W12" i="5"/>
  <c r="V47" i="11"/>
  <c r="V60" i="3"/>
  <c r="S60" i="3"/>
  <c r="U23" i="5"/>
  <c r="W23" i="5" s="1"/>
  <c r="W10" i="4"/>
  <c r="K62" i="4"/>
  <c r="W47" i="4"/>
  <c r="U21" i="5"/>
  <c r="U22" i="5"/>
  <c r="W22" i="5"/>
  <c r="V55" i="4"/>
  <c r="W55" i="4"/>
  <c r="U74" i="3"/>
  <c r="V74" i="3"/>
  <c r="S55" i="3"/>
  <c r="V55" i="3"/>
  <c r="T22" i="18"/>
  <c r="V22" i="18"/>
  <c r="T19" i="18"/>
  <c r="U19" i="18" s="1"/>
  <c r="V19" i="18"/>
  <c r="T29" i="18"/>
  <c r="U29" i="18" s="1"/>
  <c r="X29" i="18" s="1"/>
  <c r="V29" i="18"/>
  <c r="T24" i="18"/>
  <c r="V24" i="18"/>
  <c r="T18" i="18"/>
  <c r="S18" i="18" s="1"/>
  <c r="W18" i="18" s="1"/>
  <c r="X18" i="18" s="1"/>
  <c r="V18" i="18"/>
  <c r="T20" i="18"/>
  <c r="V20" i="18" s="1"/>
  <c r="T23" i="18"/>
  <c r="V23" i="18" s="1"/>
  <c r="T21" i="18"/>
  <c r="S21" i="18" s="1"/>
  <c r="W21" i="18" s="1"/>
  <c r="X21" i="18" s="1"/>
  <c r="V21" i="18"/>
  <c r="K77" i="2"/>
  <c r="K78" i="2" s="1"/>
  <c r="T10" i="11"/>
  <c r="F54" i="11"/>
  <c r="K54" i="11" s="1"/>
  <c r="U27" i="3"/>
  <c r="U26" i="3"/>
  <c r="U24" i="3"/>
  <c r="U16" i="3"/>
  <c r="U17" i="3"/>
  <c r="S72" i="3"/>
  <c r="T72" i="3"/>
  <c r="U23" i="3"/>
  <c r="U15" i="3"/>
  <c r="S71" i="3"/>
  <c r="T71" i="3"/>
  <c r="U30" i="3"/>
  <c r="U22" i="3"/>
  <c r="U14" i="3"/>
  <c r="U11" i="3"/>
  <c r="U19" i="3"/>
  <c r="U25" i="3"/>
  <c r="U29" i="3"/>
  <c r="U21" i="3"/>
  <c r="U13" i="3"/>
  <c r="S75" i="3"/>
  <c r="T75" i="3"/>
  <c r="U18" i="3"/>
  <c r="K77" i="3"/>
  <c r="T10" i="3"/>
  <c r="V10" i="3" s="1"/>
  <c r="U28" i="3"/>
  <c r="U20" i="3"/>
  <c r="U12" i="3"/>
  <c r="K30" i="5"/>
  <c r="S35" i="1"/>
  <c r="T35" i="1" s="1"/>
  <c r="U35" i="1" s="1"/>
  <c r="T17" i="18"/>
  <c r="S17" i="18" s="1"/>
  <c r="W17" i="18" s="1"/>
  <c r="W10" i="2"/>
  <c r="V53" i="4"/>
  <c r="U39" i="4"/>
  <c r="V39" i="4" s="1"/>
  <c r="U47" i="4"/>
  <c r="V47" i="4" s="1"/>
  <c r="U51" i="4"/>
  <c r="W51" i="4" s="1"/>
  <c r="V43" i="4"/>
  <c r="T44" i="11"/>
  <c r="U44" i="11" s="1"/>
  <c r="U35" i="11"/>
  <c r="T27" i="11"/>
  <c r="U27" i="11" s="1"/>
  <c r="V27" i="11"/>
  <c r="T19" i="11"/>
  <c r="U19" i="11" s="1"/>
  <c r="T43" i="11"/>
  <c r="U43" i="11" s="1"/>
  <c r="T34" i="11"/>
  <c r="U34" i="11" s="1"/>
  <c r="T26" i="11"/>
  <c r="U26" i="11" s="1"/>
  <c r="T18" i="11"/>
  <c r="U18" i="11" s="1"/>
  <c r="T47" i="11"/>
  <c r="S47" i="11" s="1"/>
  <c r="T42" i="11"/>
  <c r="U42" i="11" s="1"/>
  <c r="V16" i="11"/>
  <c r="U16" i="11"/>
  <c r="T39" i="11"/>
  <c r="U39" i="11" s="1"/>
  <c r="V39" i="11"/>
  <c r="T31" i="11"/>
  <c r="U31" i="11" s="1"/>
  <c r="T23" i="11"/>
  <c r="U23" i="11" s="1"/>
  <c r="T15" i="11"/>
  <c r="U15" i="11" s="1"/>
  <c r="V25" i="11"/>
  <c r="U25" i="11"/>
  <c r="V24" i="11"/>
  <c r="U24" i="11"/>
  <c r="T38" i="11"/>
  <c r="U38" i="11" s="1"/>
  <c r="T30" i="11"/>
  <c r="U30" i="11" s="1"/>
  <c r="T22" i="11"/>
  <c r="U22" i="11" s="1"/>
  <c r="V22" i="11"/>
  <c r="T14" i="11"/>
  <c r="U14" i="11" s="1"/>
  <c r="V17" i="11"/>
  <c r="U17" i="11"/>
  <c r="V41" i="11"/>
  <c r="U41" i="11"/>
  <c r="U46" i="11"/>
  <c r="T37" i="11"/>
  <c r="U37" i="11" s="1"/>
  <c r="V37" i="11"/>
  <c r="T29" i="11"/>
  <c r="U29" i="11" s="1"/>
  <c r="T21" i="11"/>
  <c r="U21" i="11" s="1"/>
  <c r="V21" i="11"/>
  <c r="T13" i="11"/>
  <c r="U13" i="11" s="1"/>
  <c r="V33" i="11"/>
  <c r="U33" i="11"/>
  <c r="V32" i="11"/>
  <c r="U32" i="11"/>
  <c r="T45" i="11"/>
  <c r="U45" i="11" s="1"/>
  <c r="T36" i="11"/>
  <c r="U36" i="11" s="1"/>
  <c r="T28" i="11"/>
  <c r="U28" i="11" s="1"/>
  <c r="V28" i="11"/>
  <c r="T20" i="11"/>
  <c r="U20" i="11" s="1"/>
  <c r="T12" i="11"/>
  <c r="U12" i="11" s="1"/>
  <c r="T26" i="18"/>
  <c r="U26" i="18" s="1"/>
  <c r="X26" i="18" s="1"/>
  <c r="T31" i="18"/>
  <c r="V31" i="18" s="1"/>
  <c r="T35" i="18"/>
  <c r="V35" i="18" s="1"/>
  <c r="F42" i="18"/>
  <c r="F43" i="18" s="1"/>
  <c r="T25" i="18"/>
  <c r="V25" i="18" s="1"/>
  <c r="H42" i="18"/>
  <c r="H43" i="18" s="1"/>
  <c r="T27" i="18"/>
  <c r="U27" i="18" s="1"/>
  <c r="X27" i="18" s="1"/>
  <c r="T28" i="18"/>
  <c r="U28" i="18" s="1"/>
  <c r="X28" i="18" s="1"/>
  <c r="T33" i="18"/>
  <c r="V33" i="18" s="1"/>
  <c r="T32" i="18"/>
  <c r="V32" i="18" s="1"/>
  <c r="T36" i="18"/>
  <c r="V36" i="18" s="1"/>
  <c r="T30" i="18"/>
  <c r="V30" i="18" s="1"/>
  <c r="T34" i="18"/>
  <c r="V34" i="18" s="1"/>
  <c r="U24" i="18"/>
  <c r="S23" i="18"/>
  <c r="W23" i="18" s="1"/>
  <c r="X23" i="18" s="1"/>
  <c r="U23" i="18"/>
  <c r="U22" i="18"/>
  <c r="K53" i="11"/>
  <c r="S73" i="3"/>
  <c r="S74" i="3"/>
  <c r="W75" i="3"/>
  <c r="X75" i="3" s="1"/>
  <c r="O43" i="18"/>
  <c r="P41" i="18"/>
  <c r="P42" i="18" s="1"/>
  <c r="H61" i="17"/>
  <c r="H58" i="17"/>
  <c r="H79" i="3"/>
  <c r="X13" i="18"/>
  <c r="X15" i="18"/>
  <c r="X12" i="18"/>
  <c r="X14" i="18"/>
  <c r="X16" i="18"/>
  <c r="S20" i="18"/>
  <c r="W20" i="18" s="1"/>
  <c r="X20" i="18" s="1"/>
  <c r="S24" i="18"/>
  <c r="W24" i="18" s="1"/>
  <c r="X24" i="18" s="1"/>
  <c r="S22" i="18"/>
  <c r="O79" i="3"/>
  <c r="W71" i="3"/>
  <c r="P64" i="4"/>
  <c r="Y55" i="4"/>
  <c r="V54" i="4"/>
  <c r="X53" i="4"/>
  <c r="Y53" i="4" s="1"/>
  <c r="V19" i="5" l="1"/>
  <c r="T19" i="5"/>
  <c r="U20" i="18"/>
  <c r="V36" i="11"/>
  <c r="V23" i="11"/>
  <c r="V43" i="11"/>
  <c r="U75" i="3"/>
  <c r="V75" i="3"/>
  <c r="U20" i="1"/>
  <c r="W39" i="4"/>
  <c r="V35" i="1"/>
  <c r="W19" i="5"/>
  <c r="V17" i="18"/>
  <c r="U21" i="18"/>
  <c r="V21" i="5"/>
  <c r="T21" i="5"/>
  <c r="W43" i="4"/>
  <c r="V26" i="5"/>
  <c r="T26" i="5"/>
  <c r="T15" i="5"/>
  <c r="V15" i="5"/>
  <c r="T18" i="5"/>
  <c r="V18" i="5"/>
  <c r="U71" i="3"/>
  <c r="V71" i="3"/>
  <c r="V20" i="5"/>
  <c r="T20" i="5"/>
  <c r="V45" i="11"/>
  <c r="V13" i="11"/>
  <c r="V19" i="11"/>
  <c r="T22" i="5"/>
  <c r="V22" i="5"/>
  <c r="W21" i="5"/>
  <c r="T12" i="5"/>
  <c r="V12" i="5"/>
  <c r="W26" i="5"/>
  <c r="U72" i="3"/>
  <c r="V72" i="3"/>
  <c r="T23" i="5"/>
  <c r="V23" i="5"/>
  <c r="W18" i="5"/>
  <c r="V13" i="5"/>
  <c r="T13" i="5"/>
  <c r="V27" i="18"/>
  <c r="S19" i="18"/>
  <c r="W19" i="18" s="1"/>
  <c r="X19" i="18" s="1"/>
  <c r="V26" i="18"/>
  <c r="V28" i="18"/>
  <c r="U18" i="18"/>
  <c r="U17" i="18"/>
  <c r="V12" i="11"/>
  <c r="V34" i="11"/>
  <c r="V44" i="11"/>
  <c r="U10" i="11"/>
  <c r="T53" i="11"/>
  <c r="F18" i="15" s="1"/>
  <c r="C9" i="21" s="1"/>
  <c r="V18" i="11"/>
  <c r="V10" i="11"/>
  <c r="T77" i="3"/>
  <c r="U10" i="3"/>
  <c r="U25" i="18"/>
  <c r="X25" i="18" s="1"/>
  <c r="T41" i="18"/>
  <c r="F24" i="15" s="1"/>
  <c r="C21" i="21" s="1"/>
  <c r="B22" i="21" s="1"/>
  <c r="W22" i="18"/>
  <c r="X22" i="18" s="1"/>
  <c r="Q62" i="4"/>
  <c r="Y52" i="4"/>
  <c r="V51" i="4"/>
  <c r="T51" i="4"/>
  <c r="V52" i="4"/>
  <c r="V30" i="11"/>
  <c r="V15" i="11"/>
  <c r="V20" i="11"/>
  <c r="V29" i="11"/>
  <c r="V38" i="11"/>
  <c r="V35" i="11"/>
  <c r="V26" i="11"/>
  <c r="V42" i="11"/>
  <c r="U47" i="11"/>
  <c r="X47" i="11" s="1"/>
  <c r="W47" i="11"/>
  <c r="V14" i="11"/>
  <c r="V31" i="11"/>
  <c r="U34" i="18"/>
  <c r="X34" i="18" s="1"/>
  <c r="S34" i="18"/>
  <c r="W34" i="18" s="1"/>
  <c r="U32" i="18"/>
  <c r="X32" i="18" s="1"/>
  <c r="S32" i="18"/>
  <c r="W32" i="18" s="1"/>
  <c r="U35" i="18"/>
  <c r="X35" i="18" s="1"/>
  <c r="S35" i="18"/>
  <c r="W35" i="18" s="1"/>
  <c r="U30" i="18"/>
  <c r="X30" i="18" s="1"/>
  <c r="S30" i="18"/>
  <c r="W30" i="18" s="1"/>
  <c r="U33" i="18"/>
  <c r="X33" i="18" s="1"/>
  <c r="S33" i="18"/>
  <c r="W33" i="18" s="1"/>
  <c r="U31" i="18"/>
  <c r="X31" i="18" s="1"/>
  <c r="S31" i="18"/>
  <c r="W31" i="18" s="1"/>
  <c r="U36" i="18"/>
  <c r="X36" i="18" s="1"/>
  <c r="S36" i="18"/>
  <c r="W36" i="18" s="1"/>
  <c r="K42" i="18"/>
  <c r="K43" i="18" s="1"/>
  <c r="K78" i="3"/>
  <c r="Y54" i="4"/>
  <c r="P43" i="18"/>
  <c r="X17" i="18"/>
  <c r="B10" i="21" l="1"/>
  <c r="G18" i="15"/>
  <c r="E61" i="11"/>
  <c r="S41" i="18"/>
  <c r="E50" i="18"/>
  <c r="G24" i="15"/>
  <c r="V41" i="18"/>
  <c r="U41" i="18"/>
  <c r="U42" i="18" s="1"/>
  <c r="W41" i="18"/>
  <c r="X41" i="18"/>
  <c r="Q63" i="4"/>
  <c r="Q10" i="9"/>
  <c r="R10" i="9" s="1"/>
  <c r="S10" i="9" s="1"/>
  <c r="S17" i="9" s="1"/>
  <c r="M18" i="15" l="1"/>
  <c r="E51" i="18"/>
  <c r="H24" i="15"/>
  <c r="I24" i="15" s="1"/>
  <c r="M24" i="15"/>
  <c r="V42" i="18"/>
  <c r="V43" i="18" s="1"/>
  <c r="U43" i="18"/>
  <c r="Q64" i="4"/>
  <c r="P20" i="12"/>
  <c r="P21" i="12" s="1"/>
  <c r="O20" i="12"/>
  <c r="O21" i="12" s="1"/>
  <c r="O22" i="12" s="1"/>
  <c r="X11" i="12"/>
  <c r="X10" i="12"/>
  <c r="P22" i="12" l="1"/>
  <c r="H55" i="11"/>
  <c r="H36" i="1" l="1"/>
  <c r="I36" i="1"/>
  <c r="J36" i="1"/>
  <c r="O36" i="1"/>
  <c r="O37" i="1" s="1"/>
  <c r="P36" i="1"/>
  <c r="P37" i="1" s="1"/>
  <c r="P38" i="1" s="1"/>
  <c r="F36" i="1"/>
  <c r="E54" i="1" l="1"/>
  <c r="F37" i="1"/>
  <c r="F38" i="1" s="1"/>
  <c r="H37" i="1"/>
  <c r="H38" i="1" s="1"/>
  <c r="O38" i="1"/>
  <c r="K36" i="1"/>
  <c r="V31" i="17"/>
  <c r="V28" i="17"/>
  <c r="V29" i="17"/>
  <c r="V30" i="17"/>
  <c r="V32" i="17"/>
  <c r="V39" i="17"/>
  <c r="V40" i="17"/>
  <c r="V49" i="17"/>
  <c r="V54" i="17"/>
  <c r="V26" i="17"/>
  <c r="V27" i="17"/>
  <c r="V12" i="17"/>
  <c r="V13" i="17"/>
  <c r="V14" i="17"/>
  <c r="V15" i="17"/>
  <c r="V16" i="17"/>
  <c r="V17" i="17"/>
  <c r="V18" i="17"/>
  <c r="V19" i="17"/>
  <c r="V20" i="17"/>
  <c r="V23" i="17"/>
  <c r="V24" i="17"/>
  <c r="V11" i="17"/>
  <c r="V22" i="17"/>
  <c r="V25" i="17"/>
  <c r="V21" i="17"/>
  <c r="S18" i="13"/>
  <c r="W18" i="13" s="1"/>
  <c r="S22" i="13"/>
  <c r="W22" i="13" s="1"/>
  <c r="S19" i="13"/>
  <c r="W19" i="13" s="1"/>
  <c r="S20" i="13"/>
  <c r="W20" i="13" s="1"/>
  <c r="S21" i="13"/>
  <c r="W21" i="13" s="1"/>
  <c r="X21" i="13" s="1"/>
  <c r="S23" i="13"/>
  <c r="W23" i="13" s="1"/>
  <c r="S24" i="13"/>
  <c r="W24" i="13" s="1"/>
  <c r="S25" i="13"/>
  <c r="W25" i="13" s="1"/>
  <c r="S17" i="13"/>
  <c r="W17" i="13" s="1"/>
  <c r="U16" i="13" l="1"/>
  <c r="S18" i="12"/>
  <c r="U18" i="12" s="1"/>
  <c r="K37" i="1"/>
  <c r="K38" i="1" s="1"/>
  <c r="K20" i="12"/>
  <c r="K21" i="12" s="1"/>
  <c r="X24" i="13"/>
  <c r="X23" i="13"/>
  <c r="X22" i="13"/>
  <c r="X17" i="13"/>
  <c r="V55" i="17"/>
  <c r="I63" i="17"/>
  <c r="S16" i="13"/>
  <c r="X25" i="13"/>
  <c r="X18" i="13"/>
  <c r="X20" i="13"/>
  <c r="X19" i="13"/>
  <c r="W35" i="1"/>
  <c r="X35" i="1" s="1"/>
  <c r="W72" i="3"/>
  <c r="W73" i="3"/>
  <c r="X73" i="3" s="1"/>
  <c r="W74" i="3"/>
  <c r="X74" i="3" s="1"/>
  <c r="K79" i="3"/>
  <c r="Y14" i="4"/>
  <c r="Y15" i="4"/>
  <c r="Y16" i="4"/>
  <c r="Y17" i="4"/>
  <c r="Y18" i="4"/>
  <c r="Y19" i="4"/>
  <c r="Y20" i="4"/>
  <c r="Y21" i="4"/>
  <c r="Y22" i="4"/>
  <c r="Y23" i="4"/>
  <c r="Y24" i="4"/>
  <c r="Y25" i="4"/>
  <c r="Y27" i="4"/>
  <c r="X72" i="3" l="1"/>
  <c r="X71" i="3"/>
  <c r="U50" i="4" l="1"/>
  <c r="W50" i="4" s="1"/>
  <c r="V50" i="4" l="1"/>
  <c r="T50" i="4"/>
  <c r="X51" i="4"/>
  <c r="Y51" i="4" s="1"/>
  <c r="W12" i="6" l="1"/>
  <c r="W13" i="6"/>
  <c r="W14" i="6"/>
  <c r="W15" i="6"/>
  <c r="W16" i="6"/>
  <c r="W11" i="6"/>
  <c r="W10" i="6"/>
  <c r="G17" i="6"/>
  <c r="I17" i="6"/>
  <c r="J17" i="6"/>
  <c r="K17" i="6"/>
  <c r="K19" i="6" s="1"/>
  <c r="M17" i="6"/>
  <c r="N17" i="6"/>
  <c r="O17" i="6"/>
  <c r="O19" i="6" s="1"/>
  <c r="P17" i="6"/>
  <c r="P19" i="6" s="1"/>
  <c r="R17" i="6"/>
  <c r="S17" i="6"/>
  <c r="T17" i="6"/>
  <c r="T19" i="6" s="1"/>
  <c r="U17" i="6"/>
  <c r="V17" i="6"/>
  <c r="F17" i="6"/>
  <c r="F19" i="6" s="1"/>
  <c r="W17" i="16"/>
  <c r="W16" i="16"/>
  <c r="W19" i="16" s="1"/>
  <c r="H19" i="16"/>
  <c r="I19" i="16"/>
  <c r="J19" i="16"/>
  <c r="K19" i="16"/>
  <c r="L19" i="16"/>
  <c r="L21" i="16" s="1"/>
  <c r="N19" i="16"/>
  <c r="O19" i="16"/>
  <c r="Q19" i="16"/>
  <c r="R19" i="16"/>
  <c r="S19" i="16"/>
  <c r="U19" i="16"/>
  <c r="V19" i="16"/>
  <c r="G19" i="16"/>
  <c r="Q10" i="8"/>
  <c r="Q14" i="8" s="1"/>
  <c r="H14" i="8"/>
  <c r="I14" i="8"/>
  <c r="I15" i="8" s="1"/>
  <c r="J14" i="8"/>
  <c r="N14" i="8"/>
  <c r="N15" i="8" s="1"/>
  <c r="N16" i="8" s="1"/>
  <c r="O14" i="8"/>
  <c r="G14" i="8"/>
  <c r="G16" i="8" s="1"/>
  <c r="F17" i="7"/>
  <c r="G17" i="7"/>
  <c r="G19" i="7" s="1"/>
  <c r="H17" i="7"/>
  <c r="I17" i="7"/>
  <c r="I18" i="7" s="1"/>
  <c r="J17" i="7"/>
  <c r="K17" i="7"/>
  <c r="N17" i="7"/>
  <c r="N18" i="7" s="1"/>
  <c r="O17" i="7"/>
  <c r="O18" i="7" s="1"/>
  <c r="O19" i="7" s="1"/>
  <c r="E17" i="7"/>
  <c r="Q11" i="7"/>
  <c r="R11" i="7" s="1"/>
  <c r="Q10" i="7"/>
  <c r="Q17" i="7" s="1"/>
  <c r="Q17" i="9"/>
  <c r="H17" i="9"/>
  <c r="I17" i="9"/>
  <c r="I18" i="9" s="1"/>
  <c r="J17" i="9"/>
  <c r="N17" i="9"/>
  <c r="N18" i="9" s="1"/>
  <c r="N19" i="9" s="1"/>
  <c r="O17" i="9"/>
  <c r="G17" i="9"/>
  <c r="G19" i="9" s="1"/>
  <c r="W12" i="14"/>
  <c r="W11" i="14"/>
  <c r="W10" i="14"/>
  <c r="G15" i="14"/>
  <c r="H15" i="14"/>
  <c r="H17" i="14" s="1"/>
  <c r="I15" i="14"/>
  <c r="J15" i="14"/>
  <c r="J16" i="14" s="1"/>
  <c r="K16" i="14" s="1"/>
  <c r="K15" i="14"/>
  <c r="K17" i="14" s="1"/>
  <c r="L15" i="14"/>
  <c r="M15" i="14"/>
  <c r="N15" i="14"/>
  <c r="O15" i="14"/>
  <c r="O16" i="14" s="1"/>
  <c r="P15" i="14"/>
  <c r="P16" i="14" s="1"/>
  <c r="P17" i="14" s="1"/>
  <c r="R15" i="14"/>
  <c r="S15" i="14"/>
  <c r="T15" i="14"/>
  <c r="U15" i="14"/>
  <c r="V15" i="14"/>
  <c r="F15" i="14"/>
  <c r="F17" i="14" s="1"/>
  <c r="W16" i="13"/>
  <c r="X16" i="13" s="1"/>
  <c r="H31" i="13"/>
  <c r="I31" i="13"/>
  <c r="J31" i="13"/>
  <c r="J32" i="13" s="1"/>
  <c r="K31" i="13"/>
  <c r="K32" i="13" s="1"/>
  <c r="L31" i="13"/>
  <c r="O31" i="13"/>
  <c r="O32" i="13" s="1"/>
  <c r="P31" i="13"/>
  <c r="P32" i="13" s="1"/>
  <c r="P33" i="13" s="1"/>
  <c r="F31" i="13"/>
  <c r="U21" i="16" l="1"/>
  <c r="H14" i="15"/>
  <c r="I14" i="15" s="1"/>
  <c r="U19" i="6"/>
  <c r="H15" i="15"/>
  <c r="I15" i="15" s="1"/>
  <c r="H33" i="13"/>
  <c r="U15" i="13"/>
  <c r="U31" i="13" s="1"/>
  <c r="U32" i="13" s="1"/>
  <c r="F32" i="13"/>
  <c r="F33" i="13" s="1"/>
  <c r="S11" i="7"/>
  <c r="K33" i="13"/>
  <c r="S10" i="7"/>
  <c r="S17" i="7" s="1"/>
  <c r="P10" i="7"/>
  <c r="E18" i="7"/>
  <c r="J18" i="7" s="1"/>
  <c r="N19" i="7"/>
  <c r="R18" i="7"/>
  <c r="O20" i="7"/>
  <c r="P11" i="7"/>
  <c r="T11" i="7" s="1"/>
  <c r="U11" i="7" s="1"/>
  <c r="O17" i="14"/>
  <c r="T16" i="14"/>
  <c r="T17" i="14" s="1"/>
  <c r="U16" i="14"/>
  <c r="U17" i="14" s="1"/>
  <c r="O18" i="9"/>
  <c r="R18" i="9" s="1"/>
  <c r="R10" i="7"/>
  <c r="R17" i="7" s="1"/>
  <c r="O15" i="8"/>
  <c r="R15" i="8" s="1"/>
  <c r="O33" i="13"/>
  <c r="G20" i="16"/>
  <c r="G21" i="16" s="1"/>
  <c r="P10" i="8"/>
  <c r="P10" i="9"/>
  <c r="S15" i="13"/>
  <c r="W15" i="13" s="1"/>
  <c r="R10" i="8"/>
  <c r="R14" i="8" s="1"/>
  <c r="S10" i="8"/>
  <c r="S14" i="8" s="1"/>
  <c r="W17" i="6"/>
  <c r="W15" i="14"/>
  <c r="T31" i="13"/>
  <c r="F25" i="15" s="1"/>
  <c r="C24" i="21" s="1"/>
  <c r="B25" i="21" s="1"/>
  <c r="P17" i="7" l="1"/>
  <c r="E19" i="7"/>
  <c r="G25" i="15"/>
  <c r="E39" i="13"/>
  <c r="T10" i="7"/>
  <c r="U10" i="7" s="1"/>
  <c r="U17" i="7" s="1"/>
  <c r="O16" i="8"/>
  <c r="O19" i="9"/>
  <c r="U33" i="13"/>
  <c r="S18" i="7"/>
  <c r="S19" i="7" s="1"/>
  <c r="S31" i="13"/>
  <c r="R16" i="8"/>
  <c r="V31" i="13"/>
  <c r="H25" i="15" s="1"/>
  <c r="J19" i="7"/>
  <c r="R19" i="7"/>
  <c r="W31" i="13"/>
  <c r="X15" i="13"/>
  <c r="X31" i="13" s="1"/>
  <c r="P17" i="9"/>
  <c r="T10" i="9"/>
  <c r="R17" i="9"/>
  <c r="R19" i="9" s="1"/>
  <c r="P14" i="8"/>
  <c r="T10" i="8"/>
  <c r="T17" i="7" l="1"/>
  <c r="E40" i="13"/>
  <c r="M25" i="15"/>
  <c r="I25" i="15"/>
  <c r="V32" i="13"/>
  <c r="V33" i="13" s="1"/>
  <c r="T14" i="8"/>
  <c r="U10" i="8"/>
  <c r="U14" i="8" s="1"/>
  <c r="T17" i="9"/>
  <c r="U10" i="9"/>
  <c r="U17" i="9" s="1"/>
  <c r="V56" i="17"/>
  <c r="G56" i="17"/>
  <c r="I56" i="17"/>
  <c r="J56" i="17"/>
  <c r="J57" i="17" s="1"/>
  <c r="L56" i="17"/>
  <c r="M56" i="17"/>
  <c r="N56" i="17"/>
  <c r="O57" i="17"/>
  <c r="U56" i="17"/>
  <c r="F58" i="17"/>
  <c r="W18" i="12"/>
  <c r="X18" i="12" s="1"/>
  <c r="W19" i="12"/>
  <c r="X19" i="12" s="1"/>
  <c r="W12" i="12"/>
  <c r="G20" i="12"/>
  <c r="H20" i="12"/>
  <c r="I20" i="12"/>
  <c r="J20" i="12"/>
  <c r="J21" i="12" s="1"/>
  <c r="K22" i="12" s="1"/>
  <c r="F20" i="12"/>
  <c r="F21" i="12" l="1"/>
  <c r="F22" i="12" s="1"/>
  <c r="H21" i="12"/>
  <c r="H22" i="12" s="1"/>
  <c r="S14" i="12"/>
  <c r="U14" i="12"/>
  <c r="S13" i="12"/>
  <c r="U13" i="12"/>
  <c r="O58" i="17"/>
  <c r="K58" i="17"/>
  <c r="W14" i="12"/>
  <c r="X14" i="12" s="1"/>
  <c r="X12" i="12"/>
  <c r="W13" i="12"/>
  <c r="X13" i="12" s="1"/>
  <c r="U17" i="12" l="1"/>
  <c r="U15" i="12"/>
  <c r="U16" i="12"/>
  <c r="T58" i="17"/>
  <c r="S17" i="12"/>
  <c r="W17" i="12" s="1"/>
  <c r="X17" i="12" s="1"/>
  <c r="S16" i="12"/>
  <c r="W16" i="12" s="1"/>
  <c r="X16" i="12" s="1"/>
  <c r="S15" i="12"/>
  <c r="T20" i="12"/>
  <c r="F21" i="15" s="1"/>
  <c r="C12" i="21" s="1"/>
  <c r="B13" i="21" s="1"/>
  <c r="P12" i="10"/>
  <c r="U12" i="10" s="1"/>
  <c r="P13" i="10"/>
  <c r="U13" i="10" s="1"/>
  <c r="P14" i="10"/>
  <c r="U14" i="10" s="1"/>
  <c r="P15" i="10"/>
  <c r="U15" i="10" s="1"/>
  <c r="P16" i="10"/>
  <c r="U16" i="10" s="1"/>
  <c r="P17" i="10"/>
  <c r="U17" i="10" s="1"/>
  <c r="P18" i="10"/>
  <c r="U18" i="10" s="1"/>
  <c r="P19" i="10"/>
  <c r="U19" i="10" s="1"/>
  <c r="P20" i="10"/>
  <c r="U20" i="10" s="1"/>
  <c r="P21" i="10"/>
  <c r="U21" i="10" s="1"/>
  <c r="P22" i="10"/>
  <c r="U22" i="10" s="1"/>
  <c r="P23" i="10"/>
  <c r="U23" i="10" s="1"/>
  <c r="P24" i="10"/>
  <c r="U24" i="10" s="1"/>
  <c r="P25" i="10"/>
  <c r="P26" i="10"/>
  <c r="P11" i="10"/>
  <c r="U11" i="10" s="1"/>
  <c r="Q25" i="2"/>
  <c r="Q26" i="2"/>
  <c r="Q27" i="2"/>
  <c r="Q28" i="2"/>
  <c r="Q29" i="2"/>
  <c r="Q30" i="2"/>
  <c r="Q31" i="2"/>
  <c r="Q32" i="2"/>
  <c r="V32" i="2" s="1"/>
  <c r="Q33" i="2"/>
  <c r="V33" i="2" s="1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V70" i="2" s="1"/>
  <c r="Q71" i="2"/>
  <c r="Q72" i="2"/>
  <c r="Q73" i="2"/>
  <c r="Q74" i="2"/>
  <c r="Q75" i="2"/>
  <c r="Q20" i="2"/>
  <c r="Q21" i="2"/>
  <c r="Q22" i="2"/>
  <c r="Q23" i="2"/>
  <c r="Q24" i="2"/>
  <c r="Q19" i="2"/>
  <c r="V19" i="2" s="1"/>
  <c r="Q17" i="2"/>
  <c r="V17" i="2" s="1"/>
  <c r="Q18" i="2"/>
  <c r="V18" i="2" s="1"/>
  <c r="Q16" i="2"/>
  <c r="V16" i="2" s="1"/>
  <c r="W22" i="1"/>
  <c r="S22" i="1"/>
  <c r="S19" i="1"/>
  <c r="W35" i="3"/>
  <c r="W34" i="3"/>
  <c r="W32" i="3"/>
  <c r="W31" i="3"/>
  <c r="P37" i="3"/>
  <c r="U37" i="3" s="1"/>
  <c r="P32" i="3"/>
  <c r="U32" i="3" s="1"/>
  <c r="P33" i="3"/>
  <c r="U33" i="3" s="1"/>
  <c r="P34" i="3"/>
  <c r="U34" i="3" s="1"/>
  <c r="P35" i="3"/>
  <c r="U35" i="3" s="1"/>
  <c r="P36" i="3"/>
  <c r="U36" i="3" s="1"/>
  <c r="P38" i="3"/>
  <c r="U38" i="3" s="1"/>
  <c r="P39" i="3"/>
  <c r="U39" i="3" s="1"/>
  <c r="P40" i="3"/>
  <c r="U40" i="3" s="1"/>
  <c r="P41" i="3"/>
  <c r="U41" i="3" s="1"/>
  <c r="P42" i="3"/>
  <c r="U42" i="3" s="1"/>
  <c r="P43" i="3"/>
  <c r="U43" i="3" s="1"/>
  <c r="P44" i="3"/>
  <c r="U44" i="3" s="1"/>
  <c r="P45" i="3"/>
  <c r="U45" i="3" s="1"/>
  <c r="P46" i="3"/>
  <c r="U46" i="3" s="1"/>
  <c r="P47" i="3"/>
  <c r="U47" i="3" s="1"/>
  <c r="P48" i="3"/>
  <c r="U48" i="3" s="1"/>
  <c r="P49" i="3"/>
  <c r="U49" i="3" s="1"/>
  <c r="P50" i="3"/>
  <c r="U50" i="3" s="1"/>
  <c r="P51" i="3"/>
  <c r="U51" i="3" s="1"/>
  <c r="P52" i="3"/>
  <c r="U52" i="3" s="1"/>
  <c r="P53" i="3"/>
  <c r="U53" i="3" s="1"/>
  <c r="P54" i="3"/>
  <c r="U54" i="3" s="1"/>
  <c r="P55" i="3"/>
  <c r="U55" i="3" s="1"/>
  <c r="P56" i="3"/>
  <c r="U56" i="3" s="1"/>
  <c r="P57" i="3"/>
  <c r="U57" i="3" s="1"/>
  <c r="P58" i="3"/>
  <c r="U58" i="3" s="1"/>
  <c r="P59" i="3"/>
  <c r="U59" i="3" s="1"/>
  <c r="P60" i="3"/>
  <c r="U60" i="3" s="1"/>
  <c r="P61" i="3"/>
  <c r="U61" i="3" s="1"/>
  <c r="P62" i="3"/>
  <c r="U62" i="3" s="1"/>
  <c r="P63" i="3"/>
  <c r="U63" i="3" s="1"/>
  <c r="P64" i="3"/>
  <c r="U64" i="3" s="1"/>
  <c r="P65" i="3"/>
  <c r="U65" i="3" s="1"/>
  <c r="P66" i="3"/>
  <c r="U66" i="3" s="1"/>
  <c r="P67" i="3"/>
  <c r="U67" i="3" s="1"/>
  <c r="P68" i="3"/>
  <c r="U68" i="3" s="1"/>
  <c r="P69" i="3"/>
  <c r="U69" i="3" s="1"/>
  <c r="P70" i="3"/>
  <c r="U70" i="3" s="1"/>
  <c r="P31" i="3"/>
  <c r="G21" i="15" l="1"/>
  <c r="E29" i="12"/>
  <c r="U31" i="3"/>
  <c r="U77" i="3" s="1"/>
  <c r="P77" i="3"/>
  <c r="V20" i="12"/>
  <c r="H21" i="15" s="1"/>
  <c r="U20" i="12"/>
  <c r="U21" i="12" s="1"/>
  <c r="P78" i="3"/>
  <c r="W40" i="3"/>
  <c r="W41" i="3"/>
  <c r="W15" i="12"/>
  <c r="S20" i="12"/>
  <c r="P29" i="10"/>
  <c r="P30" i="10" s="1"/>
  <c r="S20" i="10"/>
  <c r="W20" i="10" s="1"/>
  <c r="X20" i="10" s="1"/>
  <c r="S21" i="10"/>
  <c r="W21" i="10" s="1"/>
  <c r="X21" i="10" s="1"/>
  <c r="S22" i="10"/>
  <c r="W22" i="10" s="1"/>
  <c r="X22" i="10" s="1"/>
  <c r="S24" i="10"/>
  <c r="W24" i="10" s="1"/>
  <c r="X24" i="10" s="1"/>
  <c r="S19" i="10"/>
  <c r="T25" i="10"/>
  <c r="V25" i="10" s="1"/>
  <c r="T26" i="10"/>
  <c r="G29" i="10"/>
  <c r="H29" i="10"/>
  <c r="I29" i="10"/>
  <c r="J29" i="10"/>
  <c r="K29" i="10"/>
  <c r="O29" i="10"/>
  <c r="O30" i="10" s="1"/>
  <c r="O31" i="10" s="1"/>
  <c r="F29" i="10"/>
  <c r="X32" i="2"/>
  <c r="X33" i="2"/>
  <c r="T33" i="2"/>
  <c r="T32" i="2"/>
  <c r="T17" i="2"/>
  <c r="X17" i="2" s="1"/>
  <c r="Y17" i="2" s="1"/>
  <c r="T18" i="2"/>
  <c r="X18" i="2" s="1"/>
  <c r="Y18" i="2" s="1"/>
  <c r="T19" i="2"/>
  <c r="X19" i="2" s="1"/>
  <c r="Y19" i="2" s="1"/>
  <c r="T16" i="2"/>
  <c r="U74" i="2"/>
  <c r="W74" i="2" s="1"/>
  <c r="U20" i="2"/>
  <c r="W20" i="2" s="1"/>
  <c r="U21" i="2"/>
  <c r="W21" i="2" s="1"/>
  <c r="U23" i="2"/>
  <c r="W23" i="2" s="1"/>
  <c r="U24" i="2"/>
  <c r="W24" i="2" s="1"/>
  <c r="U25" i="2"/>
  <c r="W25" i="2" s="1"/>
  <c r="U26" i="2"/>
  <c r="W26" i="2" s="1"/>
  <c r="U27" i="2"/>
  <c r="W27" i="2" s="1"/>
  <c r="U28" i="2"/>
  <c r="W28" i="2" s="1"/>
  <c r="U29" i="2"/>
  <c r="W29" i="2" s="1"/>
  <c r="U30" i="2"/>
  <c r="W30" i="2" s="1"/>
  <c r="U31" i="2"/>
  <c r="W31" i="2" s="1"/>
  <c r="U34" i="2"/>
  <c r="W34" i="2" s="1"/>
  <c r="U35" i="2"/>
  <c r="W35" i="2" s="1"/>
  <c r="U36" i="2"/>
  <c r="W36" i="2" s="1"/>
  <c r="U37" i="2"/>
  <c r="W37" i="2" s="1"/>
  <c r="U38" i="2"/>
  <c r="W38" i="2" s="1"/>
  <c r="U39" i="2"/>
  <c r="W39" i="2" s="1"/>
  <c r="U40" i="2"/>
  <c r="W40" i="2" s="1"/>
  <c r="U41" i="2"/>
  <c r="W41" i="2" s="1"/>
  <c r="U42" i="2"/>
  <c r="W42" i="2" s="1"/>
  <c r="U43" i="2"/>
  <c r="W43" i="2" s="1"/>
  <c r="U44" i="2"/>
  <c r="W44" i="2" s="1"/>
  <c r="U45" i="2"/>
  <c r="W45" i="2" s="1"/>
  <c r="U46" i="2"/>
  <c r="W46" i="2" s="1"/>
  <c r="U47" i="2"/>
  <c r="W47" i="2" s="1"/>
  <c r="U48" i="2"/>
  <c r="W48" i="2" s="1"/>
  <c r="U49" i="2"/>
  <c r="W49" i="2" s="1"/>
  <c r="U50" i="2"/>
  <c r="W50" i="2" s="1"/>
  <c r="U51" i="2"/>
  <c r="W51" i="2" s="1"/>
  <c r="U52" i="2"/>
  <c r="W52" i="2" s="1"/>
  <c r="U53" i="2"/>
  <c r="W53" i="2" s="1"/>
  <c r="U54" i="2"/>
  <c r="W54" i="2" s="1"/>
  <c r="U55" i="2"/>
  <c r="W55" i="2" s="1"/>
  <c r="U56" i="2"/>
  <c r="W56" i="2" s="1"/>
  <c r="U57" i="2"/>
  <c r="W57" i="2" s="1"/>
  <c r="U58" i="2"/>
  <c r="W58" i="2" s="1"/>
  <c r="U59" i="2"/>
  <c r="W59" i="2" s="1"/>
  <c r="U60" i="2"/>
  <c r="W60" i="2" s="1"/>
  <c r="U61" i="2"/>
  <c r="W61" i="2" s="1"/>
  <c r="U62" i="2"/>
  <c r="W62" i="2" s="1"/>
  <c r="U63" i="2"/>
  <c r="W63" i="2" s="1"/>
  <c r="U64" i="2"/>
  <c r="W64" i="2" s="1"/>
  <c r="U65" i="2"/>
  <c r="W65" i="2" s="1"/>
  <c r="U66" i="2"/>
  <c r="W66" i="2" s="1"/>
  <c r="U67" i="2"/>
  <c r="W67" i="2" s="1"/>
  <c r="U68" i="2"/>
  <c r="W68" i="2" s="1"/>
  <c r="U69" i="2"/>
  <c r="W69" i="2" s="1"/>
  <c r="T70" i="2"/>
  <c r="X70" i="2" s="1"/>
  <c r="Y70" i="2" s="1"/>
  <c r="U71" i="2"/>
  <c r="W71" i="2" s="1"/>
  <c r="U72" i="2"/>
  <c r="W72" i="2" s="1"/>
  <c r="U73" i="2"/>
  <c r="W73" i="2" s="1"/>
  <c r="U75" i="2"/>
  <c r="W75" i="2" s="1"/>
  <c r="H79" i="2"/>
  <c r="I77" i="2"/>
  <c r="J77" i="2"/>
  <c r="K79" i="2"/>
  <c r="P78" i="2"/>
  <c r="P79" i="2" s="1"/>
  <c r="Q77" i="2"/>
  <c r="F77" i="2"/>
  <c r="U26" i="10" l="1"/>
  <c r="S26" i="10"/>
  <c r="V26" i="10"/>
  <c r="I21" i="15"/>
  <c r="M21" i="15"/>
  <c r="X16" i="2"/>
  <c r="U77" i="2"/>
  <c r="F20" i="15" s="1"/>
  <c r="F78" i="2"/>
  <c r="D26" i="15"/>
  <c r="D37" i="15" s="1"/>
  <c r="F30" i="10"/>
  <c r="F31" i="10" s="1"/>
  <c r="T29" i="10"/>
  <c r="U25" i="10"/>
  <c r="U29" i="10" s="1"/>
  <c r="U30" i="10" s="1"/>
  <c r="K30" i="10"/>
  <c r="K31" i="10" s="1"/>
  <c r="E73" i="4"/>
  <c r="H31" i="10"/>
  <c r="V21" i="12"/>
  <c r="V22" i="12" s="1"/>
  <c r="E30" i="12"/>
  <c r="T62" i="2"/>
  <c r="X62" i="2" s="1"/>
  <c r="Y62" i="2" s="1"/>
  <c r="V62" i="2"/>
  <c r="T54" i="2"/>
  <c r="X54" i="2" s="1"/>
  <c r="Y54" i="2" s="1"/>
  <c r="V54" i="2"/>
  <c r="T46" i="2"/>
  <c r="X46" i="2" s="1"/>
  <c r="Y46" i="2" s="1"/>
  <c r="V46" i="2"/>
  <c r="T38" i="2"/>
  <c r="X38" i="2" s="1"/>
  <c r="Y38" i="2" s="1"/>
  <c r="V38" i="2"/>
  <c r="T28" i="2"/>
  <c r="X28" i="2" s="1"/>
  <c r="Y28" i="2" s="1"/>
  <c r="V28" i="2"/>
  <c r="T20" i="2"/>
  <c r="X20" i="2" s="1"/>
  <c r="Y20" i="2" s="1"/>
  <c r="V20" i="2"/>
  <c r="T45" i="2"/>
  <c r="X45" i="2" s="1"/>
  <c r="Y45" i="2" s="1"/>
  <c r="V45" i="2"/>
  <c r="T52" i="2"/>
  <c r="X52" i="2" s="1"/>
  <c r="Y52" i="2" s="1"/>
  <c r="V52" i="2"/>
  <c r="V59" i="2"/>
  <c r="V43" i="2"/>
  <c r="V35" i="2"/>
  <c r="V25" i="2"/>
  <c r="T69" i="2"/>
  <c r="X69" i="2" s="1"/>
  <c r="Y69" i="2" s="1"/>
  <c r="V69" i="2"/>
  <c r="V74" i="2"/>
  <c r="T44" i="2"/>
  <c r="X44" i="2" s="1"/>
  <c r="Y44" i="2" s="1"/>
  <c r="V44" i="2"/>
  <c r="V66" i="2"/>
  <c r="V42" i="2"/>
  <c r="V49" i="2"/>
  <c r="V23" i="2"/>
  <c r="T53" i="2"/>
  <c r="X53" i="2" s="1"/>
  <c r="Y53" i="2" s="1"/>
  <c r="V53" i="2"/>
  <c r="V37" i="2"/>
  <c r="T68" i="2"/>
  <c r="X68" i="2" s="1"/>
  <c r="Y68" i="2" s="1"/>
  <c r="V68" i="2"/>
  <c r="T36" i="2"/>
  <c r="X36" i="2" s="1"/>
  <c r="Y36" i="2" s="1"/>
  <c r="V36" i="2"/>
  <c r="T67" i="2"/>
  <c r="X67" i="2" s="1"/>
  <c r="Y67" i="2" s="1"/>
  <c r="V67" i="2"/>
  <c r="V75" i="2"/>
  <c r="V58" i="2"/>
  <c r="V50" i="2"/>
  <c r="V34" i="2"/>
  <c r="V24" i="2"/>
  <c r="V73" i="2"/>
  <c r="V57" i="2"/>
  <c r="V31" i="2"/>
  <c r="T64" i="2"/>
  <c r="X64" i="2" s="1"/>
  <c r="Y64" i="2" s="1"/>
  <c r="V64" i="2"/>
  <c r="T56" i="2"/>
  <c r="X56" i="2" s="1"/>
  <c r="Y56" i="2" s="1"/>
  <c r="V56" i="2"/>
  <c r="T48" i="2"/>
  <c r="X48" i="2" s="1"/>
  <c r="Y48" i="2" s="1"/>
  <c r="V48" i="2"/>
  <c r="T40" i="2"/>
  <c r="X40" i="2" s="1"/>
  <c r="Y40" i="2" s="1"/>
  <c r="V40" i="2"/>
  <c r="T30" i="2"/>
  <c r="X30" i="2" s="1"/>
  <c r="Y30" i="2" s="1"/>
  <c r="V30" i="2"/>
  <c r="T22" i="2"/>
  <c r="X22" i="2" s="1"/>
  <c r="Y22" i="2" s="1"/>
  <c r="V22" i="2"/>
  <c r="V61" i="2"/>
  <c r="T27" i="2"/>
  <c r="X27" i="2" s="1"/>
  <c r="Y27" i="2" s="1"/>
  <c r="V27" i="2"/>
  <c r="V60" i="2"/>
  <c r="T26" i="2"/>
  <c r="X26" i="2" s="1"/>
  <c r="Y26" i="2" s="1"/>
  <c r="V26" i="2"/>
  <c r="T51" i="2"/>
  <c r="X51" i="2" s="1"/>
  <c r="Y51" i="2" s="1"/>
  <c r="V51" i="2"/>
  <c r="V65" i="2"/>
  <c r="V41" i="2"/>
  <c r="T72" i="2"/>
  <c r="X72" i="2" s="1"/>
  <c r="Y72" i="2" s="1"/>
  <c r="V72" i="2"/>
  <c r="T71" i="2"/>
  <c r="X71" i="2" s="1"/>
  <c r="Y71" i="2" s="1"/>
  <c r="V71" i="2"/>
  <c r="T63" i="2"/>
  <c r="X63" i="2" s="1"/>
  <c r="Y63" i="2" s="1"/>
  <c r="V63" i="2"/>
  <c r="T55" i="2"/>
  <c r="X55" i="2" s="1"/>
  <c r="Y55" i="2" s="1"/>
  <c r="V55" i="2"/>
  <c r="T47" i="2"/>
  <c r="X47" i="2" s="1"/>
  <c r="Y47" i="2" s="1"/>
  <c r="V47" i="2"/>
  <c r="T39" i="2"/>
  <c r="X39" i="2" s="1"/>
  <c r="Y39" i="2" s="1"/>
  <c r="V39" i="2"/>
  <c r="T29" i="2"/>
  <c r="X29" i="2" s="1"/>
  <c r="Y29" i="2" s="1"/>
  <c r="V29" i="2"/>
  <c r="T21" i="2"/>
  <c r="X21" i="2" s="1"/>
  <c r="Y21" i="2" s="1"/>
  <c r="V21" i="2"/>
  <c r="V29" i="10"/>
  <c r="F79" i="2"/>
  <c r="U22" i="12"/>
  <c r="P79" i="3"/>
  <c r="S25" i="10"/>
  <c r="W25" i="10" s="1"/>
  <c r="X25" i="10" s="1"/>
  <c r="T75" i="2"/>
  <c r="X75" i="2" s="1"/>
  <c r="Y75" i="2" s="1"/>
  <c r="W26" i="10"/>
  <c r="X26" i="10" s="1"/>
  <c r="P31" i="10"/>
  <c r="Q78" i="2"/>
  <c r="Q79" i="2" s="1"/>
  <c r="T61" i="2"/>
  <c r="X61" i="2" s="1"/>
  <c r="Y61" i="2" s="1"/>
  <c r="T37" i="2"/>
  <c r="X37" i="2" s="1"/>
  <c r="Y37" i="2" s="1"/>
  <c r="W19" i="10"/>
  <c r="Y16" i="2"/>
  <c r="T59" i="2"/>
  <c r="X59" i="2" s="1"/>
  <c r="Y59" i="2" s="1"/>
  <c r="T35" i="2"/>
  <c r="X35" i="2" s="1"/>
  <c r="Y35" i="2" s="1"/>
  <c r="T74" i="2"/>
  <c r="X74" i="2" s="1"/>
  <c r="Y74" i="2" s="1"/>
  <c r="T66" i="2"/>
  <c r="X66" i="2" s="1"/>
  <c r="Y66" i="2" s="1"/>
  <c r="T50" i="2"/>
  <c r="X50" i="2" s="1"/>
  <c r="Y50" i="2" s="1"/>
  <c r="T42" i="2"/>
  <c r="X42" i="2" s="1"/>
  <c r="Y42" i="2" s="1"/>
  <c r="T34" i="2"/>
  <c r="X34" i="2" s="1"/>
  <c r="Y34" i="2" s="1"/>
  <c r="X15" i="12"/>
  <c r="X20" i="12" s="1"/>
  <c r="W20" i="12"/>
  <c r="T60" i="2"/>
  <c r="X60" i="2" s="1"/>
  <c r="Y60" i="2" s="1"/>
  <c r="T25" i="2"/>
  <c r="X25" i="2" s="1"/>
  <c r="Y25" i="2" s="1"/>
  <c r="T24" i="2"/>
  <c r="X24" i="2" s="1"/>
  <c r="Y24" i="2" s="1"/>
  <c r="T73" i="2"/>
  <c r="X73" i="2" s="1"/>
  <c r="Y73" i="2" s="1"/>
  <c r="T65" i="2"/>
  <c r="X65" i="2" s="1"/>
  <c r="Y65" i="2" s="1"/>
  <c r="T57" i="2"/>
  <c r="X57" i="2" s="1"/>
  <c r="Y57" i="2" s="1"/>
  <c r="T49" i="2"/>
  <c r="X49" i="2" s="1"/>
  <c r="Y49" i="2" s="1"/>
  <c r="T31" i="2"/>
  <c r="X31" i="2" s="1"/>
  <c r="Y31" i="2" s="1"/>
  <c r="T23" i="2"/>
  <c r="X23" i="2" s="1"/>
  <c r="Y23" i="2" s="1"/>
  <c r="T43" i="2"/>
  <c r="X43" i="2" s="1"/>
  <c r="Y43" i="2" s="1"/>
  <c r="T58" i="2"/>
  <c r="X58" i="2" s="1"/>
  <c r="Y58" i="2" s="1"/>
  <c r="T41" i="2"/>
  <c r="X41" i="2" s="1"/>
  <c r="Y41" i="2" s="1"/>
  <c r="S23" i="10"/>
  <c r="W23" i="10" s="1"/>
  <c r="X23" i="10" s="1"/>
  <c r="Y32" i="2"/>
  <c r="Y33" i="2"/>
  <c r="C15" i="21" l="1"/>
  <c r="B16" i="21" s="1"/>
  <c r="G20" i="15"/>
  <c r="M20" i="15" s="1"/>
  <c r="E85" i="2"/>
  <c r="T77" i="2"/>
  <c r="W77" i="2"/>
  <c r="H20" i="15" s="1"/>
  <c r="X77" i="2"/>
  <c r="V30" i="10"/>
  <c r="V31" i="10" s="1"/>
  <c r="E26" i="15"/>
  <c r="V77" i="2"/>
  <c r="U31" i="10"/>
  <c r="V78" i="2"/>
  <c r="W29" i="10"/>
  <c r="X19" i="10"/>
  <c r="X29" i="10" s="1"/>
  <c r="S29" i="10"/>
  <c r="Y77" i="2"/>
  <c r="X13" i="1"/>
  <c r="X14" i="1"/>
  <c r="X12" i="1"/>
  <c r="X11" i="1"/>
  <c r="W19" i="1"/>
  <c r="S15" i="1"/>
  <c r="W15" i="1" s="1"/>
  <c r="T29" i="1"/>
  <c r="V29" i="1" s="1"/>
  <c r="I20" i="15" l="1"/>
  <c r="E86" i="2"/>
  <c r="W78" i="2"/>
  <c r="W79" i="2" s="1"/>
  <c r="U29" i="1"/>
  <c r="E37" i="15"/>
  <c r="V79" i="2"/>
  <c r="X15" i="1"/>
  <c r="X19" i="1"/>
  <c r="S13" i="1"/>
  <c r="S14" i="1"/>
  <c r="S16" i="1"/>
  <c r="W16" i="1" s="1"/>
  <c r="X16" i="1" s="1"/>
  <c r="S17" i="1"/>
  <c r="W17" i="1" s="1"/>
  <c r="X17" i="1" s="1"/>
  <c r="S18" i="1"/>
  <c r="W18" i="1" s="1"/>
  <c r="X18" i="1" s="1"/>
  <c r="X22" i="1"/>
  <c r="S29" i="1"/>
  <c r="W29" i="1" s="1"/>
  <c r="X29" i="1" s="1"/>
  <c r="S12" i="1"/>
  <c r="S11" i="1"/>
  <c r="T21" i="1"/>
  <c r="V21" i="1" s="1"/>
  <c r="T23" i="1"/>
  <c r="V23" i="1" s="1"/>
  <c r="T24" i="1"/>
  <c r="V24" i="1" s="1"/>
  <c r="T25" i="1"/>
  <c r="V25" i="1" s="1"/>
  <c r="T26" i="1"/>
  <c r="V26" i="1" s="1"/>
  <c r="T27" i="1"/>
  <c r="V27" i="1" s="1"/>
  <c r="T28" i="1"/>
  <c r="V28" i="1" s="1"/>
  <c r="T30" i="1"/>
  <c r="V30" i="1" s="1"/>
  <c r="T31" i="1"/>
  <c r="V31" i="1" s="1"/>
  <c r="T32" i="1"/>
  <c r="V32" i="1" s="1"/>
  <c r="T33" i="1"/>
  <c r="V33" i="1" s="1"/>
  <c r="T34" i="1"/>
  <c r="V34" i="1" s="1"/>
  <c r="X31" i="11"/>
  <c r="X32" i="11"/>
  <c r="X33" i="11"/>
  <c r="X34" i="11"/>
  <c r="X36" i="11"/>
  <c r="X37" i="11"/>
  <c r="X38" i="11"/>
  <c r="X39" i="11"/>
  <c r="X40" i="11"/>
  <c r="X41" i="11"/>
  <c r="X43" i="11"/>
  <c r="X44" i="11"/>
  <c r="X10" i="11"/>
  <c r="S11" i="11"/>
  <c r="S12" i="11"/>
  <c r="S13" i="11"/>
  <c r="S14" i="11"/>
  <c r="S15" i="11"/>
  <c r="S16" i="11"/>
  <c r="S17" i="11"/>
  <c r="S18" i="11"/>
  <c r="S19" i="11"/>
  <c r="S20" i="11"/>
  <c r="S21" i="11"/>
  <c r="S22" i="11"/>
  <c r="S23" i="11"/>
  <c r="S24" i="11"/>
  <c r="S25" i="11"/>
  <c r="S26" i="11"/>
  <c r="S27" i="11"/>
  <c r="S28" i="11"/>
  <c r="S29" i="11"/>
  <c r="S30" i="11"/>
  <c r="S31" i="11"/>
  <c r="S32" i="11"/>
  <c r="S33" i="11"/>
  <c r="S34" i="11"/>
  <c r="S36" i="11"/>
  <c r="S37" i="11"/>
  <c r="S38" i="11"/>
  <c r="S39" i="11"/>
  <c r="S40" i="11"/>
  <c r="S41" i="11"/>
  <c r="S43" i="11"/>
  <c r="S44" i="11"/>
  <c r="S45" i="11"/>
  <c r="W45" i="11" s="1"/>
  <c r="X45" i="11" s="1"/>
  <c r="S10" i="11"/>
  <c r="P53" i="11"/>
  <c r="G53" i="11"/>
  <c r="I53" i="11"/>
  <c r="J53" i="11"/>
  <c r="X12" i="3"/>
  <c r="X13" i="3"/>
  <c r="X14" i="3"/>
  <c r="X15" i="3"/>
  <c r="X16" i="3"/>
  <c r="X17" i="3"/>
  <c r="X18" i="3"/>
  <c r="X19" i="3"/>
  <c r="X20" i="3"/>
  <c r="X21" i="3"/>
  <c r="X22" i="3"/>
  <c r="X23" i="3"/>
  <c r="X24" i="3"/>
  <c r="X25" i="3"/>
  <c r="X26" i="3"/>
  <c r="X27" i="3"/>
  <c r="X28" i="3"/>
  <c r="X29" i="3"/>
  <c r="X30" i="3"/>
  <c r="X31" i="3"/>
  <c r="X32" i="3"/>
  <c r="X34" i="3"/>
  <c r="X35" i="3"/>
  <c r="X11" i="3"/>
  <c r="W76" i="3"/>
  <c r="X76" i="3" s="1"/>
  <c r="S35" i="3"/>
  <c r="S34" i="3"/>
  <c r="S32" i="3"/>
  <c r="S31" i="3"/>
  <c r="S12" i="3"/>
  <c r="S13" i="3"/>
  <c r="S14" i="3"/>
  <c r="S15" i="3"/>
  <c r="S16" i="3"/>
  <c r="S17" i="3"/>
  <c r="S18" i="3"/>
  <c r="S19" i="3"/>
  <c r="S20" i="3"/>
  <c r="S21" i="3"/>
  <c r="S22" i="3"/>
  <c r="S23" i="3"/>
  <c r="S24" i="3"/>
  <c r="S25" i="3"/>
  <c r="S26" i="3"/>
  <c r="S27" i="3"/>
  <c r="S28" i="3"/>
  <c r="S29" i="3"/>
  <c r="S30" i="3"/>
  <c r="S33" i="3"/>
  <c r="W33" i="3" s="1"/>
  <c r="X33" i="3" s="1"/>
  <c r="S36" i="3"/>
  <c r="W36" i="3" s="1"/>
  <c r="X36" i="3" s="1"/>
  <c r="S37" i="3"/>
  <c r="W37" i="3" s="1"/>
  <c r="X37" i="3" s="1"/>
  <c r="S38" i="3"/>
  <c r="W38" i="3" s="1"/>
  <c r="X38" i="3" s="1"/>
  <c r="S39" i="3"/>
  <c r="W39" i="3" s="1"/>
  <c r="X39" i="3" s="1"/>
  <c r="X40" i="3"/>
  <c r="X41" i="3"/>
  <c r="S11" i="3"/>
  <c r="S10" i="3"/>
  <c r="X10" i="3"/>
  <c r="S70" i="3"/>
  <c r="W70" i="3" s="1"/>
  <c r="X70" i="3" s="1"/>
  <c r="I77" i="3"/>
  <c r="I78" i="3" s="1"/>
  <c r="J77" i="3"/>
  <c r="J78" i="3" s="1"/>
  <c r="U32" i="4"/>
  <c r="W32" i="4" s="1"/>
  <c r="X13" i="4"/>
  <c r="Y13" i="4" s="1"/>
  <c r="X50" i="4"/>
  <c r="Y50" i="4" s="1"/>
  <c r="X11" i="4"/>
  <c r="Y11" i="4" s="1"/>
  <c r="X10" i="4"/>
  <c r="Y10" i="4" s="1"/>
  <c r="T12" i="4"/>
  <c r="T27" i="4"/>
  <c r="U28" i="4"/>
  <c r="W28" i="4" s="1"/>
  <c r="U29" i="4"/>
  <c r="W29" i="4" s="1"/>
  <c r="U30" i="4"/>
  <c r="W30" i="4" s="1"/>
  <c r="U31" i="4"/>
  <c r="W31" i="4" s="1"/>
  <c r="U33" i="4"/>
  <c r="W33" i="4" s="1"/>
  <c r="U34" i="4"/>
  <c r="W34" i="4" s="1"/>
  <c r="U35" i="4"/>
  <c r="W35" i="4" s="1"/>
  <c r="U36" i="4"/>
  <c r="W36" i="4" s="1"/>
  <c r="U37" i="4"/>
  <c r="W37" i="4" s="1"/>
  <c r="U38" i="4"/>
  <c r="W38" i="4" s="1"/>
  <c r="U40" i="4"/>
  <c r="W40" i="4" s="1"/>
  <c r="U41" i="4"/>
  <c r="W41" i="4" s="1"/>
  <c r="U42" i="4"/>
  <c r="W42" i="4" s="1"/>
  <c r="U44" i="4"/>
  <c r="W44" i="4" s="1"/>
  <c r="U45" i="4"/>
  <c r="W45" i="4" s="1"/>
  <c r="U46" i="4"/>
  <c r="W46" i="4" s="1"/>
  <c r="U48" i="4"/>
  <c r="W48" i="4" s="1"/>
  <c r="U49" i="4"/>
  <c r="W49" i="4" s="1"/>
  <c r="K64" i="4"/>
  <c r="X26" i="5"/>
  <c r="Y26" i="5" s="1"/>
  <c r="X12" i="5"/>
  <c r="Y12" i="5" s="1"/>
  <c r="H32" i="5"/>
  <c r="I30" i="5"/>
  <c r="J30" i="5"/>
  <c r="P30" i="5"/>
  <c r="X13" i="5"/>
  <c r="Y13" i="5" s="1"/>
  <c r="X15" i="5"/>
  <c r="Y15" i="5" s="1"/>
  <c r="U16" i="5"/>
  <c r="U17" i="5"/>
  <c r="X19" i="5"/>
  <c r="Y19" i="5" s="1"/>
  <c r="X21" i="5"/>
  <c r="Y21" i="5" s="1"/>
  <c r="X23" i="5"/>
  <c r="Y23" i="5" s="1"/>
  <c r="U24" i="5"/>
  <c r="U28" i="5"/>
  <c r="U29" i="5"/>
  <c r="X11" i="5"/>
  <c r="Y11" i="5" s="1"/>
  <c r="U30" i="5" l="1"/>
  <c r="F16" i="15" s="1"/>
  <c r="W28" i="5"/>
  <c r="V28" i="5"/>
  <c r="V16" i="5"/>
  <c r="W16" i="5"/>
  <c r="W29" i="5"/>
  <c r="V29" i="5"/>
  <c r="V17" i="5"/>
  <c r="W17" i="5"/>
  <c r="V24" i="5"/>
  <c r="W24" i="5"/>
  <c r="V36" i="1"/>
  <c r="U26" i="1"/>
  <c r="S30" i="1"/>
  <c r="W30" i="1" s="1"/>
  <c r="X30" i="1" s="1"/>
  <c r="U30" i="1"/>
  <c r="U28" i="1"/>
  <c r="U34" i="1"/>
  <c r="S33" i="1"/>
  <c r="W33" i="1" s="1"/>
  <c r="X33" i="1" s="1"/>
  <c r="U33" i="1"/>
  <c r="U32" i="1"/>
  <c r="U23" i="1"/>
  <c r="U27" i="1"/>
  <c r="U25" i="1"/>
  <c r="U24" i="1"/>
  <c r="U31" i="1"/>
  <c r="U21" i="1"/>
  <c r="U62" i="4"/>
  <c r="G16" i="15"/>
  <c r="H37" i="5"/>
  <c r="V31" i="4"/>
  <c r="X12" i="4"/>
  <c r="V33" i="4"/>
  <c r="V42" i="4"/>
  <c r="V44" i="4"/>
  <c r="V41" i="4"/>
  <c r="V28" i="4"/>
  <c r="V40" i="4"/>
  <c r="V29" i="4"/>
  <c r="V26" i="4"/>
  <c r="V34" i="4"/>
  <c r="V30" i="4"/>
  <c r="V49" i="4"/>
  <c r="V38" i="4"/>
  <c r="V48" i="4"/>
  <c r="V37" i="4"/>
  <c r="V32" i="4"/>
  <c r="V46" i="4"/>
  <c r="V36" i="4"/>
  <c r="V45" i="4"/>
  <c r="V35" i="4"/>
  <c r="T29" i="5"/>
  <c r="X29" i="5" s="1"/>
  <c r="Y29" i="5" s="1"/>
  <c r="V30" i="5"/>
  <c r="S47" i="3"/>
  <c r="W47" i="3" s="1"/>
  <c r="X47" i="3" s="1"/>
  <c r="S46" i="3"/>
  <c r="W46" i="3" s="1"/>
  <c r="X46" i="3" s="1"/>
  <c r="W55" i="3"/>
  <c r="X55" i="3" s="1"/>
  <c r="S54" i="3"/>
  <c r="W54" i="3" s="1"/>
  <c r="X54" i="3" s="1"/>
  <c r="S61" i="3"/>
  <c r="W61" i="3" s="1"/>
  <c r="X61" i="3" s="1"/>
  <c r="S53" i="3"/>
  <c r="W53" i="3" s="1"/>
  <c r="X53" i="3" s="1"/>
  <c r="S45" i="3"/>
  <c r="W45" i="3" s="1"/>
  <c r="X45" i="3" s="1"/>
  <c r="S69" i="3"/>
  <c r="W69" i="3" s="1"/>
  <c r="X69" i="3" s="1"/>
  <c r="S62" i="3"/>
  <c r="W62" i="3" s="1"/>
  <c r="X62" i="3" s="1"/>
  <c r="S63" i="3"/>
  <c r="W63" i="3" s="1"/>
  <c r="X63" i="3" s="1"/>
  <c r="V77" i="3"/>
  <c r="T14" i="5"/>
  <c r="X14" i="5" s="1"/>
  <c r="Y14" i="5" s="1"/>
  <c r="T28" i="5"/>
  <c r="X28" i="5" s="1"/>
  <c r="Y28" i="5" s="1"/>
  <c r="P31" i="5"/>
  <c r="P32" i="5" s="1"/>
  <c r="P54" i="11"/>
  <c r="O54" i="11"/>
  <c r="X42" i="11"/>
  <c r="T42" i="4"/>
  <c r="X42" i="4" s="1"/>
  <c r="Y42" i="4" s="1"/>
  <c r="T37" i="4"/>
  <c r="X37" i="4" s="1"/>
  <c r="Y37" i="4" s="1"/>
  <c r="T17" i="5"/>
  <c r="X17" i="5" s="1"/>
  <c r="Y17" i="5" s="1"/>
  <c r="X25" i="5"/>
  <c r="Y25" i="5" s="1"/>
  <c r="X22" i="5"/>
  <c r="Y22" i="5" s="1"/>
  <c r="X20" i="5"/>
  <c r="Y20" i="5" s="1"/>
  <c r="X18" i="5"/>
  <c r="Y18" i="5" s="1"/>
  <c r="T24" i="5"/>
  <c r="X24" i="5" s="1"/>
  <c r="Y24" i="5" s="1"/>
  <c r="T16" i="5"/>
  <c r="X16" i="5" s="1"/>
  <c r="Y16" i="5" s="1"/>
  <c r="T34" i="4"/>
  <c r="X34" i="4" s="1"/>
  <c r="Y34" i="4" s="1"/>
  <c r="T29" i="4"/>
  <c r="X29" i="4" s="1"/>
  <c r="Y29" i="4" s="1"/>
  <c r="T28" i="4"/>
  <c r="X28" i="4" s="1"/>
  <c r="Y28" i="4" s="1"/>
  <c r="T47" i="4"/>
  <c r="X47" i="4" s="1"/>
  <c r="Y47" i="4" s="1"/>
  <c r="T46" i="4"/>
  <c r="X46" i="4" s="1"/>
  <c r="Y46" i="4" s="1"/>
  <c r="T38" i="4"/>
  <c r="X38" i="4" s="1"/>
  <c r="Y38" i="4" s="1"/>
  <c r="T45" i="4"/>
  <c r="X45" i="4" s="1"/>
  <c r="Y45" i="4" s="1"/>
  <c r="T36" i="4"/>
  <c r="X36" i="4" s="1"/>
  <c r="Y36" i="4" s="1"/>
  <c r="V53" i="11"/>
  <c r="H18" i="15" s="1"/>
  <c r="T36" i="1"/>
  <c r="F19" i="15" s="1"/>
  <c r="C18" i="21" s="1"/>
  <c r="B19" i="21" s="1"/>
  <c r="S20" i="1"/>
  <c r="W20" i="1" s="1"/>
  <c r="X20" i="1" s="1"/>
  <c r="S21" i="1"/>
  <c r="W21" i="1" s="1"/>
  <c r="X21" i="1" s="1"/>
  <c r="T44" i="4"/>
  <c r="X44" i="4" s="1"/>
  <c r="Y44" i="4" s="1"/>
  <c r="T35" i="4"/>
  <c r="X35" i="4" s="1"/>
  <c r="Y35" i="4" s="1"/>
  <c r="T26" i="4"/>
  <c r="X26" i="4" s="1"/>
  <c r="Y26" i="4" s="1"/>
  <c r="S28" i="1"/>
  <c r="W28" i="1" s="1"/>
  <c r="X28" i="1" s="1"/>
  <c r="S27" i="1"/>
  <c r="W27" i="1" s="1"/>
  <c r="X27" i="1" s="1"/>
  <c r="T41" i="4"/>
  <c r="X41" i="4" s="1"/>
  <c r="Y41" i="4" s="1"/>
  <c r="T33" i="4"/>
  <c r="X33" i="4" s="1"/>
  <c r="Y33" i="4" s="1"/>
  <c r="S34" i="1"/>
  <c r="W34" i="1" s="1"/>
  <c r="X34" i="1" s="1"/>
  <c r="S26" i="1"/>
  <c r="W26" i="1" s="1"/>
  <c r="X26" i="1" s="1"/>
  <c r="S25" i="1"/>
  <c r="W25" i="1" s="1"/>
  <c r="X25" i="1" s="1"/>
  <c r="T49" i="4"/>
  <c r="X49" i="4" s="1"/>
  <c r="Y49" i="4" s="1"/>
  <c r="T40" i="4"/>
  <c r="X40" i="4" s="1"/>
  <c r="Y40" i="4" s="1"/>
  <c r="T31" i="4"/>
  <c r="X31" i="4" s="1"/>
  <c r="Y31" i="4" s="1"/>
  <c r="T48" i="4"/>
  <c r="X48" i="4" s="1"/>
  <c r="Y48" i="4" s="1"/>
  <c r="T39" i="4"/>
  <c r="X39" i="4" s="1"/>
  <c r="Y39" i="4" s="1"/>
  <c r="T30" i="4"/>
  <c r="X30" i="4" s="1"/>
  <c r="Y30" i="4" s="1"/>
  <c r="T32" i="4"/>
  <c r="X32" i="4" s="1"/>
  <c r="Y32" i="4" s="1"/>
  <c r="S32" i="1"/>
  <c r="W32" i="1" s="1"/>
  <c r="X32" i="1" s="1"/>
  <c r="S24" i="1"/>
  <c r="W24" i="1" s="1"/>
  <c r="X24" i="1" s="1"/>
  <c r="S31" i="1"/>
  <c r="W31" i="1" s="1"/>
  <c r="X31" i="1" s="1"/>
  <c r="S23" i="1"/>
  <c r="W23" i="1" s="1"/>
  <c r="X23" i="1" s="1"/>
  <c r="X43" i="4"/>
  <c r="Y43" i="4" s="1"/>
  <c r="W35" i="11"/>
  <c r="X35" i="11" s="1"/>
  <c r="S46" i="11"/>
  <c r="W46" i="11" s="1"/>
  <c r="X46" i="11" s="1"/>
  <c r="S68" i="3"/>
  <c r="W68" i="3" s="1"/>
  <c r="X68" i="3" s="1"/>
  <c r="W60" i="3"/>
  <c r="X60" i="3" s="1"/>
  <c r="S52" i="3"/>
  <c r="W52" i="3" s="1"/>
  <c r="X52" i="3" s="1"/>
  <c r="S44" i="3"/>
  <c r="W44" i="3" s="1"/>
  <c r="X44" i="3" s="1"/>
  <c r="S67" i="3"/>
  <c r="W67" i="3" s="1"/>
  <c r="X67" i="3" s="1"/>
  <c r="S59" i="3"/>
  <c r="W59" i="3" s="1"/>
  <c r="X59" i="3" s="1"/>
  <c r="S51" i="3"/>
  <c r="W51" i="3" s="1"/>
  <c r="X51" i="3" s="1"/>
  <c r="S43" i="3"/>
  <c r="W43" i="3" s="1"/>
  <c r="X43" i="3" s="1"/>
  <c r="S66" i="3"/>
  <c r="W66" i="3" s="1"/>
  <c r="X66" i="3" s="1"/>
  <c r="S58" i="3"/>
  <c r="W58" i="3" s="1"/>
  <c r="X58" i="3" s="1"/>
  <c r="S50" i="3"/>
  <c r="W50" i="3" s="1"/>
  <c r="X50" i="3" s="1"/>
  <c r="S42" i="3"/>
  <c r="S65" i="3"/>
  <c r="W65" i="3" s="1"/>
  <c r="X65" i="3" s="1"/>
  <c r="S57" i="3"/>
  <c r="W57" i="3" s="1"/>
  <c r="X57" i="3" s="1"/>
  <c r="S49" i="3"/>
  <c r="W49" i="3" s="1"/>
  <c r="X49" i="3" s="1"/>
  <c r="S64" i="3"/>
  <c r="W64" i="3" s="1"/>
  <c r="X64" i="3" s="1"/>
  <c r="S56" i="3"/>
  <c r="W56" i="3" s="1"/>
  <c r="X56" i="3" s="1"/>
  <c r="S48" i="3"/>
  <c r="W48" i="3" s="1"/>
  <c r="X48" i="3" s="1"/>
  <c r="B4" i="21" l="1"/>
  <c r="C3" i="21"/>
  <c r="V54" i="11"/>
  <c r="I18" i="15"/>
  <c r="E62" i="11"/>
  <c r="S77" i="3"/>
  <c r="V62" i="4"/>
  <c r="V63" i="4" s="1"/>
  <c r="V64" i="4" s="1"/>
  <c r="W62" i="4"/>
  <c r="H17" i="15" s="1"/>
  <c r="G71" i="4"/>
  <c r="F17" i="15"/>
  <c r="K83" i="3"/>
  <c r="W30" i="5"/>
  <c r="H16" i="15" s="1"/>
  <c r="I16" i="15" s="1"/>
  <c r="M16" i="15"/>
  <c r="E44" i="1"/>
  <c r="T62" i="4"/>
  <c r="Y12" i="4"/>
  <c r="Y62" i="4" s="1"/>
  <c r="X62" i="4"/>
  <c r="U36" i="1"/>
  <c r="U37" i="1" s="1"/>
  <c r="U53" i="11"/>
  <c r="U54" i="11" s="1"/>
  <c r="P55" i="11"/>
  <c r="S53" i="11"/>
  <c r="V55" i="11"/>
  <c r="O55" i="11"/>
  <c r="X36" i="1"/>
  <c r="W42" i="3"/>
  <c r="U78" i="3"/>
  <c r="W36" i="1"/>
  <c r="S36" i="1"/>
  <c r="X53" i="11"/>
  <c r="W53" i="11"/>
  <c r="G17" i="15" l="1"/>
  <c r="I17" i="15" s="1"/>
  <c r="C6" i="21"/>
  <c r="C26" i="21" s="1"/>
  <c r="G72" i="4"/>
  <c r="W63" i="4"/>
  <c r="W64" i="4" s="1"/>
  <c r="B7" i="21"/>
  <c r="B26" i="21" s="1"/>
  <c r="H38" i="5"/>
  <c r="V37" i="1"/>
  <c r="H19" i="15"/>
  <c r="H26" i="15" s="1"/>
  <c r="H37" i="15" s="1"/>
  <c r="E45" i="1"/>
  <c r="F26" i="15"/>
  <c r="G19" i="15"/>
  <c r="V78" i="3"/>
  <c r="V79" i="3" s="1"/>
  <c r="V38" i="1"/>
  <c r="U38" i="1"/>
  <c r="U79" i="3"/>
  <c r="U55" i="11"/>
  <c r="X42" i="3"/>
  <c r="X77" i="3" s="1"/>
  <c r="W77" i="3"/>
  <c r="M17" i="15" l="1"/>
  <c r="F37" i="15"/>
  <c r="G26" i="15"/>
  <c r="I19" i="15"/>
  <c r="M19" i="15"/>
  <c r="T17" i="16"/>
  <c r="P16" i="16"/>
  <c r="P19" i="16" s="1"/>
  <c r="M26" i="15" l="1"/>
  <c r="M37" i="15" s="1"/>
  <c r="G37" i="15"/>
  <c r="I26" i="15"/>
  <c r="I37" i="15" s="1"/>
  <c r="P21" i="16"/>
  <c r="T16" i="16"/>
  <c r="T19" i="16" s="1"/>
  <c r="T21" i="16" s="1"/>
  <c r="E17" i="9" l="1"/>
  <c r="E18" i="9" s="1"/>
  <c r="E14" i="8"/>
  <c r="E15" i="8" l="1"/>
  <c r="J15" i="8" s="1"/>
  <c r="E19" i="9"/>
  <c r="J18" i="9"/>
  <c r="F55" i="11"/>
  <c r="K55" i="11"/>
  <c r="J19" i="9" l="1"/>
  <c r="S18" i="9"/>
  <c r="S19" i="9" s="1"/>
  <c r="E16" i="8"/>
  <c r="S15" i="8"/>
  <c r="S16" i="8" s="1"/>
  <c r="J16" i="8"/>
  <c r="F31" i="5"/>
  <c r="F32" i="5" l="1"/>
  <c r="K31" i="5"/>
  <c r="K32" i="5" l="1"/>
  <c r="Q31" i="5"/>
  <c r="X10" i="5" l="1"/>
  <c r="T30" i="5"/>
  <c r="Q32" i="5"/>
  <c r="V31" i="5"/>
  <c r="W31" i="5"/>
  <c r="V32" i="5" l="1"/>
  <c r="W32" i="5"/>
  <c r="X30" i="5"/>
  <c r="Y10" i="5"/>
  <c r="Y30" i="5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Author</author>
  </authors>
  <commentList>
    <comment ref="F6" authorId="0" shapeId="0" xr:uid="{2F6B3DA9-4780-41AA-82FE-A3EF673791A0}">
      <text>
        <r>
          <rPr>
            <b/>
            <sz val="9"/>
            <color indexed="81"/>
            <rFont val="Tahoma"/>
            <family val="2"/>
            <charset val="238"/>
          </rPr>
          <t>Author:</t>
        </r>
        <r>
          <rPr>
            <sz val="9"/>
            <color indexed="81"/>
            <rFont val="Tahoma"/>
            <family val="2"/>
            <charset val="238"/>
          </rPr>
          <t xml:space="preserve">
Promjena amortizacijskih stopa</t>
        </r>
      </text>
    </comment>
    <comment ref="M10" authorId="0" shapeId="0" xr:uid="{D32DBC2D-7FAE-44E8-881C-B218E9C6AF4D}">
      <text>
        <r>
          <rPr>
            <b/>
            <sz val="9"/>
            <color indexed="81"/>
            <rFont val="Tahoma"/>
            <family val="2"/>
            <charset val="238"/>
          </rPr>
          <t>Author:</t>
        </r>
        <r>
          <rPr>
            <sz val="9"/>
            <color indexed="81"/>
            <rFont val="Tahoma"/>
            <family val="2"/>
            <charset val="238"/>
          </rPr>
          <t xml:space="preserve">
na nabavnu vrijednost 2019.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Author</author>
  </authors>
  <commentList>
    <comment ref="F6" authorId="0" shapeId="0" xr:uid="{E5BC1B4C-D8F7-42F1-9E5E-E19B37071AD3}">
      <text>
        <r>
          <rPr>
            <b/>
            <sz val="9"/>
            <color indexed="81"/>
            <rFont val="Tahoma"/>
            <family val="2"/>
            <charset val="238"/>
          </rPr>
          <t>Author:</t>
        </r>
        <r>
          <rPr>
            <sz val="9"/>
            <color indexed="81"/>
            <rFont val="Tahoma"/>
            <family val="2"/>
            <charset val="238"/>
          </rPr>
          <t xml:space="preserve">
Promjena amortizacijskih stopa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Author</author>
  </authors>
  <commentList>
    <comment ref="F6" authorId="0" shapeId="0" xr:uid="{7DE79FF5-FE05-4B0A-BECC-F86396A6BCEF}">
      <text>
        <r>
          <rPr>
            <b/>
            <sz val="9"/>
            <color indexed="81"/>
            <rFont val="Tahoma"/>
            <family val="2"/>
            <charset val="238"/>
          </rPr>
          <t>Author:</t>
        </r>
        <r>
          <rPr>
            <sz val="9"/>
            <color indexed="81"/>
            <rFont val="Tahoma"/>
            <family val="2"/>
            <charset val="238"/>
          </rPr>
          <t xml:space="preserve">
Promjena amortizacijskih stopa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Author</author>
  </authors>
  <commentList>
    <comment ref="F6" authorId="0" shapeId="0" xr:uid="{49C4546B-4FA1-4DC9-9845-C2A9911DDC60}">
      <text>
        <r>
          <rPr>
            <b/>
            <sz val="9"/>
            <color indexed="81"/>
            <rFont val="Tahoma"/>
            <family val="2"/>
            <charset val="238"/>
          </rPr>
          <t>Author:</t>
        </r>
        <r>
          <rPr>
            <sz val="9"/>
            <color indexed="81"/>
            <rFont val="Tahoma"/>
            <family val="2"/>
            <charset val="238"/>
          </rPr>
          <t xml:space="preserve">
Promjena amortizacijskih stopa</t>
        </r>
      </text>
    </comment>
  </commentList>
</comments>
</file>

<file path=xl/comments5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Author</author>
  </authors>
  <commentList>
    <comment ref="F6" authorId="0" shapeId="0" xr:uid="{9C8051E3-127B-4BDF-8B1C-867A5EDE0DA5}">
      <text>
        <r>
          <rPr>
            <b/>
            <sz val="9"/>
            <color indexed="81"/>
            <rFont val="Tahoma"/>
            <family val="2"/>
            <charset val="238"/>
          </rPr>
          <t>Author:</t>
        </r>
        <r>
          <rPr>
            <sz val="9"/>
            <color indexed="81"/>
            <rFont val="Tahoma"/>
            <family val="2"/>
            <charset val="238"/>
          </rPr>
          <t xml:space="preserve">
Promjena amortizacijskih stopa</t>
        </r>
      </text>
    </comment>
  </commentList>
</comments>
</file>

<file path=xl/comments6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Author</author>
  </authors>
  <commentList>
    <comment ref="F7" authorId="0" shapeId="0" xr:uid="{54AF75E3-AFA8-4245-8215-93A1FA05518E}">
      <text>
        <r>
          <rPr>
            <b/>
            <sz val="9"/>
            <color indexed="81"/>
            <rFont val="Tahoma"/>
            <family val="2"/>
            <charset val="238"/>
          </rPr>
          <t>Author:</t>
        </r>
        <r>
          <rPr>
            <sz val="9"/>
            <color indexed="81"/>
            <rFont val="Tahoma"/>
            <family val="2"/>
            <charset val="238"/>
          </rPr>
          <t xml:space="preserve">
Promjena amortizacijskih stopa</t>
        </r>
      </text>
    </comment>
  </commentList>
</comments>
</file>

<file path=xl/comments7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Author</author>
  </authors>
  <commentList>
    <comment ref="F6" authorId="0" shapeId="0" xr:uid="{119F7B2A-34D6-4DA8-8972-389E17C557FF}">
      <text>
        <r>
          <rPr>
            <b/>
            <sz val="9"/>
            <color indexed="81"/>
            <rFont val="Tahoma"/>
            <family val="2"/>
            <charset val="238"/>
          </rPr>
          <t>Author:</t>
        </r>
        <r>
          <rPr>
            <sz val="9"/>
            <color indexed="81"/>
            <rFont val="Tahoma"/>
            <family val="2"/>
            <charset val="238"/>
          </rPr>
          <t xml:space="preserve">
Promjena amortizacijskih stopa</t>
        </r>
      </text>
    </comment>
  </commentList>
</comments>
</file>

<file path=xl/comments8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Author</author>
  </authors>
  <commentList>
    <comment ref="F6" authorId="0" shapeId="0" xr:uid="{932C8996-82F0-4992-9EAF-79C72740D7A5}">
      <text>
        <r>
          <rPr>
            <b/>
            <sz val="9"/>
            <color indexed="81"/>
            <rFont val="Tahoma"/>
            <family val="2"/>
            <charset val="238"/>
          </rPr>
          <t>Author:</t>
        </r>
        <r>
          <rPr>
            <sz val="9"/>
            <color indexed="81"/>
            <rFont val="Tahoma"/>
            <family val="2"/>
            <charset val="238"/>
          </rPr>
          <t xml:space="preserve">
Promjena amortizacijskih stopa</t>
        </r>
      </text>
    </comment>
  </commentList>
</comments>
</file>

<file path=xl/comments9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Author</author>
  </authors>
  <commentList>
    <comment ref="F6" authorId="0" shapeId="0" xr:uid="{AB157CE2-2BE1-4D54-AEE3-280A11EFCAFF}">
      <text>
        <r>
          <rPr>
            <b/>
            <sz val="9"/>
            <color indexed="81"/>
            <rFont val="Tahoma"/>
            <family val="2"/>
            <charset val="238"/>
          </rPr>
          <t>Author:</t>
        </r>
        <r>
          <rPr>
            <sz val="9"/>
            <color indexed="81"/>
            <rFont val="Tahoma"/>
            <family val="2"/>
            <charset val="238"/>
          </rPr>
          <t xml:space="preserve">
Promjena amortizacijskih stopa</t>
        </r>
      </text>
    </comment>
  </commentList>
</comments>
</file>

<file path=xl/comments10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Author</author>
  </authors>
  <commentList>
    <comment ref="F6" authorId="0" shapeId="0" xr:uid="{DBB5970A-D412-41C0-8141-9617703A1BC0}">
      <text>
        <r>
          <rPr>
            <b/>
            <sz val="9"/>
            <color indexed="81"/>
            <rFont val="Tahoma"/>
            <family val="2"/>
            <charset val="238"/>
          </rPr>
          <t>Author:</t>
        </r>
        <r>
          <rPr>
            <sz val="9"/>
            <color indexed="81"/>
            <rFont val="Tahoma"/>
            <family val="2"/>
            <charset val="238"/>
          </rPr>
          <t xml:space="preserve">
Promjena amortizacijskih stopa</t>
        </r>
      </text>
    </comment>
  </commentList>
</comments>
</file>

<file path=xl/comments1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Author</author>
  </authors>
  <commentList>
    <comment ref="F6" authorId="0" shapeId="0" xr:uid="{E425D838-FB95-4ED1-95C4-465087FC7EBD}">
      <text>
        <r>
          <rPr>
            <b/>
            <sz val="9"/>
            <color indexed="81"/>
            <rFont val="Tahoma"/>
            <family val="2"/>
            <charset val="238"/>
          </rPr>
          <t>Author:</t>
        </r>
        <r>
          <rPr>
            <sz val="9"/>
            <color indexed="81"/>
            <rFont val="Tahoma"/>
            <family val="2"/>
            <charset val="238"/>
          </rPr>
          <t xml:space="preserve">
Promjena amortizacijskih stopa</t>
        </r>
      </text>
    </comment>
  </commentList>
</comments>
</file>

<file path=xl/comments1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Author</author>
  </authors>
  <commentList>
    <comment ref="F6" authorId="0" shapeId="0" xr:uid="{89E5E42F-CD10-4F9D-9C2E-A40F594ABC14}">
      <text>
        <r>
          <rPr>
            <b/>
            <sz val="9"/>
            <color indexed="81"/>
            <rFont val="Tahoma"/>
            <family val="2"/>
            <charset val="238"/>
          </rPr>
          <t>Author:</t>
        </r>
        <r>
          <rPr>
            <sz val="9"/>
            <color indexed="81"/>
            <rFont val="Tahoma"/>
            <family val="2"/>
            <charset val="238"/>
          </rPr>
          <t xml:space="preserve">
Promjena amortizacijskih stopa</t>
        </r>
      </text>
    </comment>
  </commentList>
</comments>
</file>

<file path=xl/comments1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Author</author>
  </authors>
  <commentList>
    <comment ref="F6" authorId="0" shapeId="0" xr:uid="{D80F9B36-EB2E-46BC-8ED8-AD8DDAB7C94C}">
      <text>
        <r>
          <rPr>
            <b/>
            <sz val="9"/>
            <color indexed="81"/>
            <rFont val="Tahoma"/>
            <family val="2"/>
            <charset val="238"/>
          </rPr>
          <t>Author:</t>
        </r>
        <r>
          <rPr>
            <sz val="9"/>
            <color indexed="81"/>
            <rFont val="Tahoma"/>
            <family val="2"/>
            <charset val="238"/>
          </rPr>
          <t xml:space="preserve">
Promjena amortizacijskih stopa</t>
        </r>
      </text>
    </comment>
  </commentList>
</comments>
</file>

<file path=xl/sharedStrings.xml><?xml version="1.0" encoding="utf-8"?>
<sst xmlns="http://schemas.openxmlformats.org/spreadsheetml/2006/main" count="1977" uniqueCount="894">
  <si>
    <t>TEK. BR.</t>
  </si>
  <si>
    <t>NAZIV DUGOTRAJNE IMOVINE</t>
  </si>
  <si>
    <t>MJ. STAV. UPORAB.</t>
  </si>
  <si>
    <t>NABAVNA VRIJEDNOST</t>
  </si>
  <si>
    <t>BROJ MJESECI OBRAČUNA AMORTIZACIJE</t>
  </si>
  <si>
    <t>STOPA AMORTIZACIJE IZ PRAVILNIKA</t>
  </si>
  <si>
    <t>DO KRAJA 2016.</t>
  </si>
  <si>
    <t>KOLIČINA NA DAN POPISA 31.12.17.</t>
  </si>
  <si>
    <t>AMORTIZACIJA - OTPIS</t>
  </si>
  <si>
    <t>POPIS I KONAČNI OBRAČUN AMORTIZACIJE DUGOTRAJNE MATERIJALNE I NEMATERIJALNE IMOVINE NA DAN 31.12.17.</t>
  </si>
  <si>
    <t>032,07= VOZILA TERETNA I MEHANIZACIJA</t>
  </si>
  <si>
    <t>032,07</t>
  </si>
  <si>
    <t>UKUPNO:</t>
  </si>
  <si>
    <t>KOMATSKU</t>
  </si>
  <si>
    <t>KRAMER</t>
  </si>
  <si>
    <t>VILIČAR LINDE</t>
  </si>
  <si>
    <t>VILIČAR RUČNI</t>
  </si>
  <si>
    <t>CITROEN BERLINGO</t>
  </si>
  <si>
    <t>VRIJED. VIŠKA NA DAN POPISA</t>
  </si>
  <si>
    <t>VRIJED.  OTPISA NA DAN POPISA</t>
  </si>
  <si>
    <t>ČEONI ELEKTRIČNI VILIČAR</t>
  </si>
  <si>
    <t>VILIČAR LINDE H-50</t>
  </si>
  <si>
    <t>KONTEJNERSKI VILIČAR</t>
  </si>
  <si>
    <t>TRAKTOR</t>
  </si>
  <si>
    <t>ČEONI VILIČAR LINCE</t>
  </si>
  <si>
    <t>UTOVARIVAČ VOLOVO</t>
  </si>
  <si>
    <t>032,07=VOZILA TERETNA I MEHANIZACIJA</t>
  </si>
  <si>
    <t>032,01</t>
  </si>
  <si>
    <t>VOLVO ZELENI</t>
  </si>
  <si>
    <t>VOLVO ZELENI 1</t>
  </si>
  <si>
    <t>VOLVO ZELENI 2</t>
  </si>
  <si>
    <t>PRIKOLICA</t>
  </si>
  <si>
    <t>ŠUMARSKE PRIKOLICE</t>
  </si>
  <si>
    <t>TRA.KIPER PRIKOLICA P</t>
  </si>
  <si>
    <t>TRAKTR.ŠUM.PRIKOLICA</t>
  </si>
  <si>
    <t>3-OSOV.PRIKOLICA</t>
  </si>
  <si>
    <t>PRIKOLICA KRONE</t>
  </si>
  <si>
    <t>PRIKOLICA MERKER</t>
  </si>
  <si>
    <t>STAS POLUPRIKOLICA</t>
  </si>
  <si>
    <t>VOLVO TEGLJAČ</t>
  </si>
  <si>
    <t>GULJAČ KORE</t>
  </si>
  <si>
    <t>ČISTAČ -topla voda</t>
  </si>
  <si>
    <t>KOMPRESOR</t>
  </si>
  <si>
    <t>Aparat za zavarivanje</t>
  </si>
  <si>
    <t>GRAJFER</t>
  </si>
  <si>
    <t>BUŠILICA- ŠTEMALICA</t>
  </si>
  <si>
    <t>MOTORNA PILA</t>
  </si>
  <si>
    <t>TRAČNA PILA P-9R/PIL</t>
  </si>
  <si>
    <t>ZATEZAČ TRAKE SIGNODE</t>
  </si>
  <si>
    <t>ZATEZAČ  SIGNODE</t>
  </si>
  <si>
    <t>VENTILACIJA</t>
  </si>
  <si>
    <t>KOPIRNA GLODALICA</t>
  </si>
  <si>
    <t>STOL</t>
  </si>
  <si>
    <t>NATEŽAČ TRAKE</t>
  </si>
  <si>
    <t>KLIPNI KOMPRESOR</t>
  </si>
  <si>
    <t>GATEŠ MJERAČ</t>
  </si>
  <si>
    <t>MAZALICA</t>
  </si>
  <si>
    <t>VIŠELISNI CML</t>
  </si>
  <si>
    <t>POD</t>
  </si>
  <si>
    <t>VAGA ZA UTOVAR</t>
  </si>
  <si>
    <t>MINIWASH DEBENEC</t>
  </si>
  <si>
    <t>HIDRAULIČNI AGREGAT</t>
  </si>
  <si>
    <t>VLAGOMJER</t>
  </si>
  <si>
    <t>UDRNI ČEKIĆ BOSH</t>
  </si>
  <si>
    <t>DEMO SITO</t>
  </si>
  <si>
    <t>EL BUŠILICA /ČEKIĆ</t>
  </si>
  <si>
    <t>ZATEZAČ PLASTIČNE TRAKE</t>
  </si>
  <si>
    <t>LASER SCHREINER</t>
  </si>
  <si>
    <t>LASER CUTTING</t>
  </si>
  <si>
    <t>KOMPLET ZA VEZIVANJE</t>
  </si>
  <si>
    <t>TRANSPORT TRAKA</t>
  </si>
  <si>
    <t>BUŠILICA STUPNA</t>
  </si>
  <si>
    <t>TOKARSKI STROJ</t>
  </si>
  <si>
    <t>GLODALICA</t>
  </si>
  <si>
    <t>BLANJALICA</t>
  </si>
  <si>
    <t>DVOSTRANA BRUSILICA</t>
  </si>
  <si>
    <t>ALAT S ORMARIMA</t>
  </si>
  <si>
    <t>PREŠA</t>
  </si>
  <si>
    <t>BUŠILICA</t>
  </si>
  <si>
    <t xml:space="preserve">TRAČNA PILA </t>
  </si>
  <si>
    <t>REDUKTOR</t>
  </si>
  <si>
    <t>CJEPIĆ LANCER</t>
  </si>
  <si>
    <t>HIDRAULIČNA DIZALICA</t>
  </si>
  <si>
    <t>TRAKA ZA DRV.ELE.</t>
  </si>
  <si>
    <t>SET NAREZNICA</t>
  </si>
  <si>
    <t>STROJNI ŠKRIP</t>
  </si>
  <si>
    <t>MAKITA</t>
  </si>
  <si>
    <t>ELEKTRIČNA PILA</t>
  </si>
  <si>
    <t>MOMENT KLJUČ</t>
  </si>
  <si>
    <t>PODSTOLNI HIDRO PRE.</t>
  </si>
  <si>
    <t>LIFTMAN SISTEM</t>
  </si>
  <si>
    <t>60A</t>
  </si>
  <si>
    <t>031</t>
  </si>
  <si>
    <t>032</t>
  </si>
  <si>
    <t>GULJAČ GKT 1</t>
  </si>
  <si>
    <t>POSTROJENJE PILANE</t>
  </si>
  <si>
    <t xml:space="preserve">SPREMNIK GORIVA </t>
  </si>
  <si>
    <t>LINIJA ZA LAKIRANJE/nij</t>
  </si>
  <si>
    <t>SUŠARA TEPRO/DINAS</t>
  </si>
  <si>
    <t>TOPLINSKA STANICA PIL</t>
  </si>
  <si>
    <t>SILOS PILJEVINA</t>
  </si>
  <si>
    <t>SORTIRNICA</t>
  </si>
  <si>
    <t>KOLICA DINACO</t>
  </si>
  <si>
    <t>TRAČNA PILA</t>
  </si>
  <si>
    <t>HAKER stroj za sječku</t>
  </si>
  <si>
    <t>MULTI RIP</t>
  </si>
  <si>
    <t>LINIJA ZA OKRAJČIVANJE</t>
  </si>
  <si>
    <t>4PARINONE/12 SUŠARA</t>
  </si>
  <si>
    <t>KOTLOVNICA</t>
  </si>
  <si>
    <t>LINIJA ZA PARKETE LIPA</t>
  </si>
  <si>
    <t xml:space="preserve">ŠTUCER </t>
  </si>
  <si>
    <t>UTOVARNA RAMPA</t>
  </si>
  <si>
    <t>ALKOTESTER</t>
  </si>
  <si>
    <t xml:space="preserve">RASHLADNI SUŠAČ </t>
  </si>
  <si>
    <t>MOBILISIS</t>
  </si>
  <si>
    <t>MOBILNI HAKER SHRED</t>
  </si>
  <si>
    <t>ULAZNA RAMPA trupci</t>
  </si>
  <si>
    <t xml:space="preserve">PRSKALICA KOLICA </t>
  </si>
  <si>
    <t>MOBILNA VAGA</t>
  </si>
  <si>
    <t>VISOKOTLAČNI PERAČ</t>
  </si>
  <si>
    <t>PUMPA ADBLUE</t>
  </si>
  <si>
    <t>TRANSPORTER Udbina</t>
  </si>
  <si>
    <t>MB HIDRAULIKA</t>
  </si>
  <si>
    <t>AS 1-12</t>
  </si>
  <si>
    <t>BS 13-24</t>
  </si>
  <si>
    <t>CS 25-29</t>
  </si>
  <si>
    <t>HIDROSTANICA</t>
  </si>
  <si>
    <t>VIJČANI KOMPRESOR</t>
  </si>
  <si>
    <t>CESTOVNA VAGA</t>
  </si>
  <si>
    <t>KUĆA VRBOVSKO</t>
  </si>
  <si>
    <t>KONTEJNER</t>
  </si>
  <si>
    <t>KUĆA BROZOVIĆ</t>
  </si>
  <si>
    <t>030</t>
  </si>
  <si>
    <t>NADSTREŠNICA</t>
  </si>
  <si>
    <t>SKLADIŠTE</t>
  </si>
  <si>
    <t>HALA ZA PAKIRANJE</t>
  </si>
  <si>
    <t>NADSTREŠNICA  za prosu.</t>
  </si>
  <si>
    <t>NADSTREŠNICA ČELIK</t>
  </si>
  <si>
    <t>HALA ZA SUHU ROBA</t>
  </si>
  <si>
    <t>KONTEJNERSKI TERMINAL</t>
  </si>
  <si>
    <t>KUĆA VLASTA BROZOVIĆ/UG ZAMJENA</t>
  </si>
  <si>
    <t>KUĆA VRBOVSKO -TEREN</t>
  </si>
  <si>
    <t>020,10</t>
  </si>
  <si>
    <t>020,50</t>
  </si>
  <si>
    <t>020,21</t>
  </si>
  <si>
    <t>ZEMLJIŠTE DIV</t>
  </si>
  <si>
    <t>ZEMLJIŠTE KASTVA</t>
  </si>
  <si>
    <t>ZEMLJIŠTE VIADUKT</t>
  </si>
  <si>
    <t>ZEMLJIŠTE BROZOVIĆ</t>
  </si>
  <si>
    <t>ZEMLJIŠTE PAVIČIĆ/ugo.</t>
  </si>
  <si>
    <r>
      <rPr>
        <b/>
        <sz val="11"/>
        <color theme="1"/>
        <rFont val="Calibri"/>
        <family val="2"/>
        <charset val="238"/>
        <scheme val="minor"/>
      </rPr>
      <t>VRBOVSKO EKO ENERGIJA d.o.o.</t>
    </r>
    <r>
      <rPr>
        <sz val="11"/>
        <color theme="1"/>
        <rFont val="Calibri"/>
        <family val="2"/>
        <scheme val="minor"/>
      </rPr>
      <t xml:space="preserve"> Vrbovsko , Tvornička 31</t>
    </r>
  </si>
  <si>
    <t>LAPTOP Pašić</t>
  </si>
  <si>
    <t>LAPTOP Mavželj</t>
  </si>
  <si>
    <t>031=POSTROJENJA , SPREMNICI</t>
  </si>
  <si>
    <t>KOGENERACIJSKI POGON</t>
  </si>
  <si>
    <t xml:space="preserve">ZGRADA ELEKTRANE </t>
  </si>
  <si>
    <t>020 = NEMATERIJALNA IMOVINA /ZEMLJIŠTE</t>
  </si>
  <si>
    <t xml:space="preserve">Električna pila </t>
  </si>
  <si>
    <t>KLIJEŠTA ZA SPOJKE</t>
  </si>
  <si>
    <t>visoko tlačni perač</t>
  </si>
  <si>
    <t>Natežač čelične trake</t>
  </si>
  <si>
    <t>SKELA</t>
  </si>
  <si>
    <t>UDBINA</t>
  </si>
  <si>
    <t>APARAT ZA VARENJE</t>
  </si>
  <si>
    <t>ŠKRIP</t>
  </si>
  <si>
    <t>PRETVARAČ</t>
  </si>
  <si>
    <t>MOTORNA PILA-UDBINA</t>
  </si>
  <si>
    <t>ORMAR SMEĐI -KANC 1</t>
  </si>
  <si>
    <t>STOL SMEĐI -KANC 1</t>
  </si>
  <si>
    <t>STOL SMEĐI -KANC 2</t>
  </si>
  <si>
    <t>STOL  OKRUGLI -KANC 2</t>
  </si>
  <si>
    <t>STOL SIVI  Škrljevo</t>
  </si>
  <si>
    <t>POLICE ZA ARHIVU</t>
  </si>
  <si>
    <t>APARAT ZA UVEZIVANJE</t>
  </si>
  <si>
    <t>KOMPJUTER Klara /Vrbovsko</t>
  </si>
  <si>
    <t>KOMPJUTER Vlasta</t>
  </si>
  <si>
    <t>KOMPJUTER Darko</t>
  </si>
  <si>
    <t>KOMPJUTER Kristina</t>
  </si>
  <si>
    <t>MINI LAPTOP Darko+licenca</t>
  </si>
  <si>
    <t>LAPTOP Damir</t>
  </si>
  <si>
    <t>LAPTOP Miljenko</t>
  </si>
  <si>
    <t>SERVR/ PILANA VRBOVSKO</t>
  </si>
  <si>
    <t>KOMPJUTER Sabrina</t>
  </si>
  <si>
    <t>KOMPJUTER Romana</t>
  </si>
  <si>
    <t>KOMPJUTER Marko</t>
  </si>
  <si>
    <t>LAPTOP Adriano</t>
  </si>
  <si>
    <t>ORMAR / bukva  Pilana</t>
  </si>
  <si>
    <t>KOMPJUTR Vinka i Sandra</t>
  </si>
  <si>
    <t>KOMPJUTER Škrljevo</t>
  </si>
  <si>
    <t>LAPTOP Lorković</t>
  </si>
  <si>
    <t>KOMPJUTER Silvija K.</t>
  </si>
  <si>
    <t>LAPTOP Vrban</t>
  </si>
  <si>
    <t>LAPTOP Udbina</t>
  </si>
  <si>
    <t>KOMPJUTER Renata/Dub</t>
  </si>
  <si>
    <t>KOMPJUTER Bajt</t>
  </si>
  <si>
    <t>KOMPJUTER Vrbovsko</t>
  </si>
  <si>
    <t>LAPTOP Vlasta</t>
  </si>
  <si>
    <t>KOMPJUTER ured  Vrbovsko</t>
  </si>
  <si>
    <t>LAPTOP Tomljanović</t>
  </si>
  <si>
    <t>KOMPJUTER RI-Jadranka Maja</t>
  </si>
  <si>
    <t>LAPTOP Avdić</t>
  </si>
  <si>
    <t>SWICH</t>
  </si>
  <si>
    <t>NAMJEŠTAJ VRBOVSKO</t>
  </si>
  <si>
    <t>KLIMA VIVAX</t>
  </si>
  <si>
    <t>VIDEO NADZOR VRBOVSKO</t>
  </si>
  <si>
    <t>KOMPJUTRER 2 /Udbina</t>
  </si>
  <si>
    <t>LAPTOP HP</t>
  </si>
  <si>
    <t>SERVER</t>
  </si>
  <si>
    <t>032 = PUTNIČKA VOZILA</t>
  </si>
  <si>
    <t>HONDA LEGEND</t>
  </si>
  <si>
    <t>HONDA AKORD</t>
  </si>
  <si>
    <t>TOYOTA AVENSIS</t>
  </si>
  <si>
    <t xml:space="preserve">CITROEN </t>
  </si>
  <si>
    <t>TOYOTA AURIS</t>
  </si>
  <si>
    <t>ŠKODA OKTAVIA</t>
  </si>
  <si>
    <t>053 = NEMATERIJALNA IMOVINA / računalni programi</t>
  </si>
  <si>
    <t>053</t>
  </si>
  <si>
    <t>licenca Windows NT, Office 97</t>
  </si>
  <si>
    <t>PROGRAM-FINANCIJSKO RAČUNOVODSTVENI</t>
  </si>
  <si>
    <t>PROGRAM-SUŠARA Dinas</t>
  </si>
  <si>
    <t>LICENCA INTEGRA</t>
  </si>
  <si>
    <t>060 = UDJELI U POVEZANIM DRUŠTVIMA</t>
  </si>
  <si>
    <t>060</t>
  </si>
  <si>
    <t>temeljni kapital PILANA VRBOVSKO</t>
  </si>
  <si>
    <t>temeljni kapital VRBOVSKO EKOENERGIJA</t>
  </si>
  <si>
    <t>temeljni kapital PAN ADRIA</t>
  </si>
  <si>
    <t>GRAĐEVINSKI OBJEKTI</t>
  </si>
  <si>
    <t>POSLOVNA ZGRADA KASTAV</t>
  </si>
  <si>
    <t>EWD LINIJA</t>
  </si>
  <si>
    <t>SILOS/KRKLEC METAL</t>
  </si>
  <si>
    <t xml:space="preserve">PRISTUPNA CESTA </t>
  </si>
  <si>
    <t xml:space="preserve">Dugotrajna imovina </t>
  </si>
  <si>
    <t>Tablica 1</t>
  </si>
  <si>
    <t>MS OFFICE licenca</t>
  </si>
  <si>
    <r>
      <rPr>
        <b/>
        <sz val="11"/>
        <color theme="1"/>
        <rFont val="Calibri"/>
        <family val="2"/>
        <charset val="238"/>
        <scheme val="minor"/>
      </rPr>
      <t>CEDAR d.o.o</t>
    </r>
    <r>
      <rPr>
        <sz val="11"/>
        <color theme="1"/>
        <rFont val="Calibri"/>
        <family val="2"/>
        <scheme val="minor"/>
      </rPr>
      <t>. Kastav, Rubeši 163 c</t>
    </r>
  </si>
  <si>
    <t>PILANA (anex, okoliš)</t>
  </si>
  <si>
    <t>ZEMLJIŠTE Pilana Vrbovsko</t>
  </si>
  <si>
    <t>EWD linija-fresh line</t>
  </si>
  <si>
    <t>USISIVAČ</t>
  </si>
  <si>
    <t xml:space="preserve">VODOMJER </t>
  </si>
  <si>
    <t>VOLVO UTOVARIVAČ</t>
  </si>
  <si>
    <t>VOLVO ZELENI 3</t>
  </si>
  <si>
    <t>Vlagomjer</t>
  </si>
  <si>
    <t>ČAVLERICA</t>
  </si>
  <si>
    <t>STOLOVI BEŽ</t>
  </si>
  <si>
    <t>PROGRAM-OBRAČUN PLAĆA</t>
  </si>
  <si>
    <t>PROGRAM-PILANA trupci,građa</t>
  </si>
  <si>
    <t>IKT/KK 03.2.1.03.0237</t>
  </si>
  <si>
    <t xml:space="preserve">PELETIRNICA </t>
  </si>
  <si>
    <t>INVENT. OZNAKA</t>
  </si>
  <si>
    <t>030=TVORNIČKE ZGRADE, HALE I RADIONICE</t>
  </si>
  <si>
    <t>SADAŠNJA VRIJEDNOST 31.12.18.</t>
  </si>
  <si>
    <t>Amortizacija za 9 mjeseci 2018. godine</t>
  </si>
  <si>
    <t>Sadašnja vrijednost na 30.09.2018.</t>
  </si>
  <si>
    <t>2017.</t>
  </si>
  <si>
    <t>STOPA 2017.</t>
  </si>
  <si>
    <t>STOPA 2018.</t>
  </si>
  <si>
    <t>MJESEČNA AMORTIZACIJA U 2018. GODINI</t>
  </si>
  <si>
    <t>GODIŠNJA AMORTIZACIJA U 2018. GODINI</t>
  </si>
  <si>
    <t>SADAŠNJA VRIJEDNOST 31.12.2018.</t>
  </si>
  <si>
    <t>AMORTIZACIJA ZA 9 MJESECI 2018. GODINE</t>
  </si>
  <si>
    <t>SADAŠNJA VRIJEDNOST 30.09.2018.</t>
  </si>
  <si>
    <t>STANJE NA 31.12.2017.</t>
  </si>
  <si>
    <t>NABAVLJENO U 2018.</t>
  </si>
  <si>
    <t>POJEDINAČNA VRIJEDNOST IMOVINE NA DAN 31.12.2018.</t>
  </si>
  <si>
    <t>UKUPNO AMORTIZIRANO</t>
  </si>
  <si>
    <t>POGONSKI MOTOR</t>
  </si>
  <si>
    <t>GAR.KRATKI IZVLAKAČKI SET</t>
  </si>
  <si>
    <t>CIJEPAČ ZA PREDIMENZ.TRU.</t>
  </si>
  <si>
    <t xml:space="preserve">ČAVLERICA </t>
  </si>
  <si>
    <t>LICENCE ANTI VIRUS/INTE</t>
  </si>
  <si>
    <t>LICENCA god.dana</t>
  </si>
  <si>
    <t>LICENCA upravljanje alatima pos.</t>
  </si>
  <si>
    <t>LICENCA pos.administracije</t>
  </si>
  <si>
    <t>LICENCA logistički poslovi</t>
  </si>
  <si>
    <t>LICENCA poslovi proizvodnje</t>
  </si>
  <si>
    <t>LICENCA CRM IKT riješenja</t>
  </si>
  <si>
    <t>LICENCA HR IKT rješenja</t>
  </si>
  <si>
    <t>LICENCA IKT RJEŠENJE/ERP,</t>
  </si>
  <si>
    <t>KONSTRUKCIJA MOSTA</t>
  </si>
  <si>
    <t>VILIČAR STILL  EXV20</t>
  </si>
  <si>
    <t>AUTOMOBIL ŠKODA</t>
  </si>
  <si>
    <t>Rbr</t>
  </si>
  <si>
    <t>SV</t>
  </si>
  <si>
    <t>1</t>
  </si>
  <si>
    <t>3</t>
  </si>
  <si>
    <t>7</t>
  </si>
  <si>
    <t>9</t>
  </si>
  <si>
    <t>POPIS I KONAČNI OBRAČUN AMORTIZACIJE DUGOTRAJNE MATERIJALNE I NEMATERIJALNE IMOVINE NA DAN 31.12.18.</t>
  </si>
  <si>
    <t>012,5 = NEMATERIJALNA IMOVINA / ulaganja radi prava korištenja</t>
  </si>
  <si>
    <t>Financijsko konto 012,5</t>
  </si>
  <si>
    <t>Razlika materijalno - financijsko</t>
  </si>
  <si>
    <t>Financijsko konto skupina 020</t>
  </si>
  <si>
    <t>UKUPNA NABAVNA VRIJEDNOST IMOVINE NA DAN 31.12.2018.</t>
  </si>
  <si>
    <t>Telefonska linija 224-854</t>
  </si>
  <si>
    <t>UKUPNA NABAVNA  VRIJEDNOST IMOVINE NA DAN 31.12.2018.</t>
  </si>
  <si>
    <t>023 = TVORNIČKE ZGRADE, HALE I RADIONICE</t>
  </si>
  <si>
    <t>KOTLOVNICA*</t>
  </si>
  <si>
    <t>SUŠIONA*</t>
  </si>
  <si>
    <t>PARIONA*</t>
  </si>
  <si>
    <t>SUŠIONE I OKOLIŠ*</t>
  </si>
  <si>
    <t>KOMORE ZA SUŠENJE*</t>
  </si>
  <si>
    <t>KOTLOVNICA**</t>
  </si>
  <si>
    <t>SUŠIONA**</t>
  </si>
  <si>
    <t>PARIONA**</t>
  </si>
  <si>
    <t>SUŠIONE I OKOLIŠ**</t>
  </si>
  <si>
    <t>*Umanjeno za vrijednost zemljišta DIV-a 2.091.400,48 kn koje je prebačeno na konto 020.30</t>
  </si>
  <si>
    <t>**Prebačeno sa skupine 030 - građevinski objekti (prijašnji konto) odnosno 023, sadašnji konto</t>
  </si>
  <si>
    <t>MOTORNA PILA SEVER</t>
  </si>
  <si>
    <t>030,111</t>
  </si>
  <si>
    <t>030,112</t>
  </si>
  <si>
    <t>030,113</t>
  </si>
  <si>
    <t>030,114</t>
  </si>
  <si>
    <t>030,25</t>
  </si>
  <si>
    <t>030,24</t>
  </si>
  <si>
    <t>030,01</t>
  </si>
  <si>
    <t>030,02</t>
  </si>
  <si>
    <t>030,03</t>
  </si>
  <si>
    <t>030,04</t>
  </si>
  <si>
    <t>023,11</t>
  </si>
  <si>
    <t>023,01</t>
  </si>
  <si>
    <t>023,02</t>
  </si>
  <si>
    <t>023,12</t>
  </si>
  <si>
    <t>023,13</t>
  </si>
  <si>
    <t>023,14</t>
  </si>
  <si>
    <t>023,15</t>
  </si>
  <si>
    <t>023,16</t>
  </si>
  <si>
    <t>023,17</t>
  </si>
  <si>
    <t>023,18</t>
  </si>
  <si>
    <t>0</t>
  </si>
  <si>
    <t>023,19</t>
  </si>
  <si>
    <t>023,03</t>
  </si>
  <si>
    <t>KONTO</t>
  </si>
  <si>
    <t>012,5</t>
  </si>
  <si>
    <t>020,00</t>
  </si>
  <si>
    <t>020,20</t>
  </si>
  <si>
    <t>020,30</t>
  </si>
  <si>
    <t>020,40</t>
  </si>
  <si>
    <t>031,2 = UREDSKA OPREMA (namještaj, kompjuteri...)</t>
  </si>
  <si>
    <t>031,2</t>
  </si>
  <si>
    <t>NAMJEŠTAJ FANTONI</t>
  </si>
  <si>
    <t>Financijsko konto skupina 032</t>
  </si>
  <si>
    <t>Financijsko konto skupina 031,2</t>
  </si>
  <si>
    <t>Financijsko konto skupina 030,1</t>
  </si>
  <si>
    <t>Financijsko konto skupina 030</t>
  </si>
  <si>
    <t>Financijsko konto skupina 023</t>
  </si>
  <si>
    <t>030 = POSTROJENJA, SPREMNICI</t>
  </si>
  <si>
    <t>030,111 = STROJEVI I ALATI</t>
  </si>
  <si>
    <t>Financijsko konto skupina 032,07</t>
  </si>
  <si>
    <t>Financijsko konto skupina 032,01</t>
  </si>
  <si>
    <t>032,01= VOZILA TRETNA  I MEHANIZACIJA</t>
  </si>
  <si>
    <t>Financijsko konto skupina 032,3</t>
  </si>
  <si>
    <t>Kancelarijski stolovi</t>
  </si>
  <si>
    <t>Ormari crni</t>
  </si>
  <si>
    <t>Kancelarijski stol trešnja</t>
  </si>
  <si>
    <t>KOMPJUTER</t>
  </si>
  <si>
    <t>Financijsko konto skupina 053</t>
  </si>
  <si>
    <t>*Ne koristi se</t>
  </si>
  <si>
    <t>031,2=UREDSKA OPREMA  (namještaj , kompjuteri...)</t>
  </si>
  <si>
    <t>Cedar d.o.o., Istarska cesta 1, 51215 Kastav</t>
  </si>
  <si>
    <t>034,90003</t>
  </si>
  <si>
    <t>034,000</t>
  </si>
  <si>
    <t>034,1000</t>
  </si>
  <si>
    <t>034,6000</t>
  </si>
  <si>
    <t>034,1900</t>
  </si>
  <si>
    <t>HAKER BRUKS</t>
  </si>
  <si>
    <t>EL.INSTALACIJE HAKER BRUKS</t>
  </si>
  <si>
    <t>034,7000</t>
  </si>
  <si>
    <t>034,8000</t>
  </si>
  <si>
    <t>034,90001/034,90002</t>
  </si>
  <si>
    <t>034,9000</t>
  </si>
  <si>
    <t>033,1000</t>
  </si>
  <si>
    <t>IZRADA PROJEKTNE DOKUMENTACIJE AG PROJEKT</t>
  </si>
  <si>
    <t>STROJNO RUŠENJE PILANA VRBOVSKO  -DANGUBIĆ</t>
  </si>
  <si>
    <t>034,21000</t>
  </si>
  <si>
    <t>KRANING DIZALICA</t>
  </si>
  <si>
    <t>GEODET. RADOVI ZA PILANU VRBOVSKO</t>
  </si>
  <si>
    <t>INVESTICIJA U TIJEKU KASTAV</t>
  </si>
  <si>
    <t>037,0000</t>
  </si>
  <si>
    <t>050 = INFORMATIČKA OPREMA I VIDEONADZOR</t>
  </si>
  <si>
    <t>VIDEONADZOR VRBOVSKO</t>
  </si>
  <si>
    <t>034,80000</t>
  </si>
  <si>
    <t>KONSTRUKCIJA IZOFORMAPANELI PILANA VRBOVSKO*</t>
  </si>
  <si>
    <t>GARAŽNA VRATA IZOFORMA - PILANA VRBOVSKO*</t>
  </si>
  <si>
    <t>* Prebačeno sa konta 031,2 - uredska oprema</t>
  </si>
  <si>
    <t>050,000</t>
  </si>
  <si>
    <t>KLIMA MITCHUBISCHI</t>
  </si>
  <si>
    <t>CEDAR d.o.o Kastav, Istarska cesta 1, 51215 Kastav</t>
  </si>
  <si>
    <t>UPS VRBOV/ELIND*</t>
  </si>
  <si>
    <t>LAP TOP/INTEGRA*</t>
  </si>
  <si>
    <t>INVERTER -WURTH*</t>
  </si>
  <si>
    <t>UGRADNJA NADZOR VIADUKT*</t>
  </si>
  <si>
    <t>UGRADNJA NADZOR KOTLOVNICA*</t>
  </si>
  <si>
    <t>030,111 = ALATI I POMOĆNA IMOVINA</t>
  </si>
  <si>
    <t>Opis</t>
  </si>
  <si>
    <t>GP Krk proširenje kapaciteta pilane</t>
  </si>
  <si>
    <t>064 = OTKUP VLASTITIH UDJELA</t>
  </si>
  <si>
    <t>064</t>
  </si>
  <si>
    <t>Otkup vlastitih udjela od Marina Prodana</t>
  </si>
  <si>
    <t>Financijsko konto skupina 064</t>
  </si>
  <si>
    <t>Financijsko konto skupina 060</t>
  </si>
  <si>
    <t>Financijsko konto skupina 050</t>
  </si>
  <si>
    <t>POPIS I KONAČNI OBRAČUN AMORTIZACIJE DUGOTRAJNE MATERIJALNE I NEMATERIJALNE IMOVINE NA DAN 31.12.2018.</t>
  </si>
  <si>
    <t>Financijsko konto skupina 037</t>
  </si>
  <si>
    <t>037 = INVESTICIJE U TIJEKU</t>
  </si>
  <si>
    <t>MH-123/2018</t>
  </si>
  <si>
    <t>STANJE NV NA 31.12.2017.</t>
  </si>
  <si>
    <t>STANJE NA 31.12.2018.</t>
  </si>
  <si>
    <t>UKUPNA NABAVNA VRIJEDNOST IMOVINE NA DAN 31.12.2019.</t>
  </si>
  <si>
    <t>POPIS I KONAČNI OBRAČUN AMORTIZACIJE DUGOTRAJNE MATERIJALNE I NEMATERIJALNE IMOVINE NA DAN 31.12.19.</t>
  </si>
  <si>
    <t>2018.</t>
  </si>
  <si>
    <t>MJESEČNA AMORTIZACIJA U 2019. GODINI</t>
  </si>
  <si>
    <t>GODIŠNJA AMORTIZACIJA U 2019. GODINI</t>
  </si>
  <si>
    <t>SADAŠNJA VRIJEDNOST 31.12.19.</t>
  </si>
  <si>
    <t>STANJE NOVE NV NA 31.12.2018.</t>
  </si>
  <si>
    <t>Kapitalizacija kamate Erste</t>
  </si>
  <si>
    <t>034,61</t>
  </si>
  <si>
    <t>Integra Group  - računala Kastav</t>
  </si>
  <si>
    <t>PILANA /KK 03.2.1.05.0023 - građevinski elaborati</t>
  </si>
  <si>
    <t>023,20</t>
  </si>
  <si>
    <t>Upravna zgrada</t>
  </si>
  <si>
    <t>Integra računala</t>
  </si>
  <si>
    <t>STAVLJANJE U UPOTREBU</t>
  </si>
  <si>
    <t>034,6000 i 034,61000</t>
  </si>
  <si>
    <t>ZGRADEPILANE</t>
  </si>
  <si>
    <t>STOPA 2019.</t>
  </si>
  <si>
    <t>Mjesec prijenosa u upotrebu</t>
  </si>
  <si>
    <t>12, 10</t>
  </si>
  <si>
    <t>030,26</t>
  </si>
  <si>
    <t>EWD linija</t>
  </si>
  <si>
    <t>veljača 2019.</t>
  </si>
  <si>
    <t>siječanj 2019.</t>
  </si>
  <si>
    <t>listopad 2019.</t>
  </si>
  <si>
    <t>lipanj 2019.</t>
  </si>
  <si>
    <t>030,27</t>
  </si>
  <si>
    <t>HAKER - Bruks</t>
  </si>
  <si>
    <t>030,28</t>
  </si>
  <si>
    <t>Silos Krklec</t>
  </si>
  <si>
    <t>MOHRINGER POSTROJENJE (postrojenje 2018. god.)</t>
  </si>
  <si>
    <t>MOHRINGER POSTROJENJE (OTN 2018. godine)</t>
  </si>
  <si>
    <t>MOHRINGER POSTROJENJE (postrojenje 2019. god.)</t>
  </si>
  <si>
    <t>MOHRINGER POSTROJENJE (OTN 2019. godine)</t>
  </si>
  <si>
    <t>POLUPRIKOLICA KRONE</t>
  </si>
  <si>
    <t>GPZ - kontrola glavnog projekta rekonstrukcija pilana</t>
  </si>
  <si>
    <t>ELIND - elektromontažni radovi</t>
  </si>
  <si>
    <t>POLICE ARHIVA</t>
  </si>
  <si>
    <t>Zaštita Jukić - videonazor Vijadukt</t>
  </si>
  <si>
    <t>Građevinski radovi za trafostanicu</t>
  </si>
  <si>
    <t>040 = UMJETNIČKA DJELA</t>
  </si>
  <si>
    <t>040</t>
  </si>
  <si>
    <t>STATUA ZGRADA KASTAV</t>
  </si>
  <si>
    <t>Proknjiženo</t>
  </si>
  <si>
    <t>023</t>
  </si>
  <si>
    <t>029</t>
  </si>
  <si>
    <t>Kontrola</t>
  </si>
  <si>
    <t>Amortizacija 2018.</t>
  </si>
  <si>
    <t>PS</t>
  </si>
  <si>
    <t>Amortizacija 2019.</t>
  </si>
  <si>
    <t>039</t>
  </si>
  <si>
    <t>030,194</t>
  </si>
  <si>
    <t>Mohringer - EU fondovi</t>
  </si>
  <si>
    <t>Mohringer - obično</t>
  </si>
  <si>
    <t>039,2</t>
  </si>
  <si>
    <t>Konto</t>
  </si>
  <si>
    <t>Duguje</t>
  </si>
  <si>
    <t>Potražuje</t>
  </si>
  <si>
    <t>430</t>
  </si>
  <si>
    <t>430,0001</t>
  </si>
  <si>
    <t>430,0003</t>
  </si>
  <si>
    <t>039,3</t>
  </si>
  <si>
    <t>430,0006</t>
  </si>
  <si>
    <t>039,4</t>
  </si>
  <si>
    <t>430,0005</t>
  </si>
  <si>
    <t>039,5</t>
  </si>
  <si>
    <t>430,0004</t>
  </si>
  <si>
    <t>059</t>
  </si>
  <si>
    <t>430,0007</t>
  </si>
  <si>
    <t>059,2</t>
  </si>
  <si>
    <t>431,0000</t>
  </si>
  <si>
    <t>Sveukupno</t>
  </si>
  <si>
    <t>SV 31.12.2019.</t>
  </si>
  <si>
    <t>Nematerijalna imovina</t>
  </si>
  <si>
    <t>020,0</t>
  </si>
  <si>
    <t>Zemljište</t>
  </si>
  <si>
    <t>023,0</t>
  </si>
  <si>
    <t>Građevinski objekti</t>
  </si>
  <si>
    <t>OSA MATERIJALNO</t>
  </si>
  <si>
    <t>KONTROLA - SV ANALITIKA</t>
  </si>
  <si>
    <t>KONTROLA - RAZLIKA</t>
  </si>
  <si>
    <t>NV</t>
  </si>
  <si>
    <t>AMORTIZACIJA</t>
  </si>
  <si>
    <t>4</t>
  </si>
  <si>
    <t>6</t>
  </si>
  <si>
    <t>10</t>
  </si>
  <si>
    <t>8 (6-7)</t>
  </si>
  <si>
    <t>OSA FINANCIJSKO</t>
  </si>
  <si>
    <t>11 (9-10)</t>
  </si>
  <si>
    <t>12 (6-11)</t>
  </si>
  <si>
    <t>030,0, 030,1</t>
  </si>
  <si>
    <t>Postrojenja, oprema, alat</t>
  </si>
  <si>
    <t>Uredska oprema</t>
  </si>
  <si>
    <t>Kamioni, tegljači i prikolice</t>
  </si>
  <si>
    <t>Osobna vozila</t>
  </si>
  <si>
    <t>034</t>
  </si>
  <si>
    <t>Imovina u pripremi</t>
  </si>
  <si>
    <t>Umjetnička djela</t>
  </si>
  <si>
    <t>050</t>
  </si>
  <si>
    <t>Licence</t>
  </si>
  <si>
    <t>Teretna vozila (viličari)</t>
  </si>
  <si>
    <t>061</t>
  </si>
  <si>
    <t>061,1</t>
  </si>
  <si>
    <t>070</t>
  </si>
  <si>
    <t>080</t>
  </si>
  <si>
    <t>Ukupno</t>
  </si>
  <si>
    <t>Sveukupno (13+20)</t>
  </si>
  <si>
    <t>Dani zajmovi povezanim društvima</t>
  </si>
  <si>
    <t>Potraživanja za kamate po danim zajmovima povezanim društvima</t>
  </si>
  <si>
    <t>Otkup vlastitih udjela</t>
  </si>
  <si>
    <t>Potraživanja od povezanih društava za isporuku dobara i usluga</t>
  </si>
  <si>
    <t>Odgođena porezna imovina</t>
  </si>
  <si>
    <t>Udjeli u povezanim društvima</t>
  </si>
  <si>
    <t>Stolovi za balkon Kastav</t>
  </si>
  <si>
    <t>Komunalni doprinos</t>
  </si>
  <si>
    <t>NABAVLJENO U 2019./Prijenos iz pripreme</t>
  </si>
  <si>
    <t>INVENTURNI BROJ</t>
  </si>
  <si>
    <t>2</t>
  </si>
  <si>
    <t>5</t>
  </si>
  <si>
    <t>8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</si>
  <si>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</si>
  <si>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</si>
  <si>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</si>
  <si>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</si>
  <si>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</si>
  <si>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</si>
  <si>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</si>
  <si>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</si>
  <si>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</si>
  <si>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</si>
  <si>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</si>
  <si>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</si>
  <si>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</si>
  <si>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</si>
  <si>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26</t>
  </si>
  <si>
    <t>27</t>
  </si>
  <si>
    <t>28</t>
  </si>
  <si>
    <t>29</t>
  </si>
  <si>
    <t>K-1/2016</t>
  </si>
  <si>
    <t>T-1/2016</t>
  </si>
  <si>
    <t>H-1/2016</t>
  </si>
  <si>
    <t>M-1/2016</t>
  </si>
  <si>
    <t>M-2/2016</t>
  </si>
  <si>
    <t>L-2/2016</t>
  </si>
  <si>
    <t>L-3/2016</t>
  </si>
  <si>
    <t>Š-1/2016</t>
  </si>
  <si>
    <t>U-1/2016</t>
  </si>
  <si>
    <t>A-1/2017</t>
  </si>
  <si>
    <t>RS-1/2016</t>
  </si>
  <si>
    <t>M-1/2017</t>
  </si>
  <si>
    <t>MH-1/2017</t>
  </si>
  <si>
    <t>U-2/2016</t>
  </si>
  <si>
    <t>25</t>
  </si>
  <si>
    <t>U-1/2015</t>
  </si>
  <si>
    <t>V-1/2015</t>
  </si>
  <si>
    <t>PK-1/2016</t>
  </si>
  <si>
    <t>MV-1/2016</t>
  </si>
  <si>
    <t>VP-1/2016</t>
  </si>
  <si>
    <t>PA-1/2016</t>
  </si>
  <si>
    <t>T-2/2016</t>
  </si>
  <si>
    <t>H-2/2016</t>
  </si>
  <si>
    <t>H-23/2016</t>
  </si>
  <si>
    <t>VK-1/2016</t>
  </si>
  <si>
    <t>CV-1/2016</t>
  </si>
  <si>
    <t>P-1/2018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</si>
  <si>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</si>
  <si>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</si>
  <si>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</si>
  <si>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</si>
  <si>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</si>
  <si>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</si>
  <si>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</si>
  <si>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</si>
  <si>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</si>
  <si>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</si>
  <si>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</si>
  <si>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</si>
  <si>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</si>
  <si>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</si>
  <si>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</si>
  <si>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</si>
  <si>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</si>
  <si>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</si>
  <si>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</si>
  <si>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</si>
  <si>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</si>
  <si>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</si>
  <si>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</si>
  <si>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</si>
  <si>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</si>
  <si>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</si>
  <si>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</si>
  <si>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</si>
  <si>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</si>
  <si>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</si>
  <si>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</si>
  <si>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</si>
  <si>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</si>
  <si>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</si>
  <si>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</si>
  <si>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</si>
  <si>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</si>
  <si>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</si>
  <si>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</si>
  <si>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</si>
  <si>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</si>
  <si>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</si>
  <si>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</si>
  <si>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</si>
  <si>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</si>
  <si>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</si>
  <si>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</si>
  <si>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</si>
  <si>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</si>
  <si>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</si>
  <si>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</si>
  <si>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</si>
  <si>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</si>
  <si>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</si>
  <si>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</si>
  <si>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</si>
  <si>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</si>
  <si>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</si>
  <si>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</si>
  <si>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</si>
  <si>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</si>
  <si>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</si>
  <si>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</si>
  <si>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</si>
  <si>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</si>
  <si>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I-1/2018</t>
  </si>
  <si>
    <t>C-1/2018</t>
  </si>
  <si>
    <t>N-1/2018</t>
  </si>
  <si>
    <t>C-2/2018</t>
  </si>
  <si>
    <t>M-1/2018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</si>
  <si>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</si>
  <si>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</si>
  <si>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</si>
  <si>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</si>
  <si>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</si>
  <si>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</si>
  <si>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</si>
  <si>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</si>
  <si>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</si>
  <si>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</si>
  <si>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</si>
  <si>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</si>
  <si>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</si>
  <si>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</si>
  <si>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</si>
  <si>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</si>
  <si>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</si>
  <si>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</si>
  <si>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</si>
  <si>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</si>
  <si>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</si>
  <si>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</si>
  <si>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</si>
  <si>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</si>
  <si>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</si>
  <si>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</si>
  <si>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</si>
  <si>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</si>
  <si>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</si>
  <si>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</si>
  <si>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</si>
  <si>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</si>
  <si>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</si>
  <si>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</si>
  <si>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</si>
  <si>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</si>
  <si>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</si>
  <si>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</si>
  <si>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</si>
  <si>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</si>
  <si>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</si>
  <si>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</si>
  <si>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</si>
  <si>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</si>
  <si>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</si>
  <si>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</si>
  <si>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</si>
  <si>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</si>
  <si>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</si>
  <si>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</si>
  <si>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</si>
  <si>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</si>
  <si>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</si>
  <si>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</si>
  <si>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F-1/2018</t>
  </si>
  <si>
    <t>VS-1/2016</t>
  </si>
  <si>
    <t>VS-2/2016</t>
  </si>
  <si>
    <t>VS-3/2016</t>
  </si>
  <si>
    <t>VS-4/2016</t>
  </si>
  <si>
    <t>VS-5/2016</t>
  </si>
  <si>
    <t>VS-6/2016</t>
  </si>
  <si>
    <t>VS-7/2016</t>
  </si>
  <si>
    <t>VS-8/2016</t>
  </si>
  <si>
    <t>VS-9/2016</t>
  </si>
  <si>
    <t>VS-10/2016</t>
  </si>
  <si>
    <t>VS-11/2016</t>
  </si>
  <si>
    <t>VS-12/2016</t>
  </si>
  <si>
    <t>VS-13/2016</t>
  </si>
  <si>
    <t>VS-14/2016</t>
  </si>
  <si>
    <t>VS-15/2016</t>
  </si>
  <si>
    <t>VS-16/2016</t>
  </si>
  <si>
    <t>VS-17/2016</t>
  </si>
  <si>
    <t>VS-18/2016</t>
  </si>
  <si>
    <t>VS-19/2016</t>
  </si>
  <si>
    <t>VS-20/2016</t>
  </si>
  <si>
    <t>VS-21/2016</t>
  </si>
  <si>
    <t>VS-22/2016</t>
  </si>
  <si>
    <t>VS-23/2016</t>
  </si>
  <si>
    <t>VS-24/2016</t>
  </si>
  <si>
    <t>VS-25/2018</t>
  </si>
  <si>
    <t>K-3/2016</t>
  </si>
  <si>
    <t>K-4/2016</t>
  </si>
  <si>
    <t>K-5/2016</t>
  </si>
  <si>
    <t>K-6/2016</t>
  </si>
  <si>
    <t>K-7/2016</t>
  </si>
  <si>
    <t>K-8/2016</t>
  </si>
  <si>
    <t>K-9/2016</t>
  </si>
  <si>
    <t>K-10/2016</t>
  </si>
  <si>
    <t>K-11/2016</t>
  </si>
  <si>
    <t>K-12/2016</t>
  </si>
  <si>
    <t>K-13/2016</t>
  </si>
  <si>
    <t>K-14/2016</t>
  </si>
  <si>
    <t>K-15/2016</t>
  </si>
  <si>
    <t>K-16/2016</t>
  </si>
  <si>
    <t>K-17/2016</t>
  </si>
  <si>
    <t>K-18/2016</t>
  </si>
  <si>
    <t>K-19/2016</t>
  </si>
  <si>
    <t>K-20/2016</t>
  </si>
  <si>
    <t>K-21/2016</t>
  </si>
  <si>
    <t>K-22/2016</t>
  </si>
  <si>
    <t>K-23/2016</t>
  </si>
  <si>
    <t>K-24/2016</t>
  </si>
  <si>
    <t>K-25/2016</t>
  </si>
  <si>
    <t>K-26/2016</t>
  </si>
  <si>
    <t>K-27/2016</t>
  </si>
  <si>
    <t>K-28/2016</t>
  </si>
  <si>
    <t>K-29/2016</t>
  </si>
  <si>
    <t>K-30/2016</t>
  </si>
  <si>
    <t>K-31/2016</t>
  </si>
  <si>
    <t>K-32/2016</t>
  </si>
  <si>
    <t>K-33/2016</t>
  </si>
  <si>
    <t>K-34/2016</t>
  </si>
  <si>
    <t>K-35/2016</t>
  </si>
  <si>
    <t>K-36/2016</t>
  </si>
  <si>
    <t>K-37/2016</t>
  </si>
  <si>
    <t>K-38/2016</t>
  </si>
  <si>
    <t>K-39/2016</t>
  </si>
  <si>
    <t>K-40/2016</t>
  </si>
  <si>
    <t>K-41/2016</t>
  </si>
  <si>
    <t>K-42/2016</t>
  </si>
  <si>
    <t>K-43/2016</t>
  </si>
  <si>
    <t>K-44/2016</t>
  </si>
  <si>
    <t>K-45/2016</t>
  </si>
  <si>
    <t>K-46/2016</t>
  </si>
  <si>
    <t>K-47/2016</t>
  </si>
  <si>
    <t>K-48/2016</t>
  </si>
  <si>
    <t>K-49/2016</t>
  </si>
  <si>
    <t>K-50/2016</t>
  </si>
  <si>
    <t>K-51/2016</t>
  </si>
  <si>
    <t>K-52/2016</t>
  </si>
  <si>
    <t>K-53/2016</t>
  </si>
  <si>
    <t>K-54/2016</t>
  </si>
  <si>
    <t>K-55/2016</t>
  </si>
  <si>
    <t>K-56/2016</t>
  </si>
  <si>
    <t>K-57/2016</t>
  </si>
  <si>
    <t>K-58/2016</t>
  </si>
  <si>
    <t>K-59/2016</t>
  </si>
  <si>
    <t>K-60/2016</t>
  </si>
  <si>
    <t>K-61/2016</t>
  </si>
  <si>
    <t>K-62/2016</t>
  </si>
  <si>
    <t>K-63/2016</t>
  </si>
  <si>
    <t>K-64/2016</t>
  </si>
  <si>
    <t>K-65/2016</t>
  </si>
  <si>
    <t>K-66/2016</t>
  </si>
  <si>
    <t>K-67/2016</t>
  </si>
  <si>
    <t>K-68/2016</t>
  </si>
  <si>
    <t>K-1/2019</t>
  </si>
  <si>
    <t>152</t>
  </si>
  <si>
    <t>153</t>
  </si>
  <si>
    <t>155</t>
  </si>
  <si>
    <t>156</t>
  </si>
  <si>
    <t>157</t>
  </si>
  <si>
    <t>158</t>
  </si>
  <si>
    <t>159</t>
  </si>
  <si>
    <t>160</t>
  </si>
  <si>
    <t>161</t>
  </si>
  <si>
    <t>V-5/2018</t>
  </si>
  <si>
    <t>K-1/2018</t>
  </si>
  <si>
    <t>E-1/2018</t>
  </si>
  <si>
    <t>B-1</t>
  </si>
  <si>
    <t>S-2/2018</t>
  </si>
  <si>
    <t>V-1/2019</t>
  </si>
  <si>
    <t>V-2/2019</t>
  </si>
  <si>
    <t>B-1/2018</t>
  </si>
  <si>
    <t>B-1/2019</t>
  </si>
  <si>
    <t>B-1/2020</t>
  </si>
  <si>
    <t>B-1/2021</t>
  </si>
  <si>
    <t>B-1/2022</t>
  </si>
  <si>
    <t>V-1/2018</t>
  </si>
  <si>
    <t>V-4/2018</t>
  </si>
  <si>
    <t>V-1A/2018</t>
  </si>
  <si>
    <t>V-2/2018</t>
  </si>
  <si>
    <t>V-3/2018</t>
  </si>
  <si>
    <t>I-2/2018</t>
  </si>
  <si>
    <t>PREDUJMOVI PILANA MOHRINGER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</si>
  <si>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</si>
  <si>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</si>
  <si>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</si>
  <si>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</si>
  <si>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</si>
  <si>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</si>
  <si>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</si>
  <si>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</si>
  <si>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</si>
  <si>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</si>
  <si>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</si>
  <si>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</si>
  <si>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</si>
  <si>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VV-1/2017</t>
  </si>
  <si>
    <t>SV-1/2017</t>
  </si>
  <si>
    <t>U-1/2018</t>
  </si>
  <si>
    <t>L-1/2018</t>
  </si>
  <si>
    <t>I-3/2018</t>
  </si>
  <si>
    <t>Z-1/2018</t>
  </si>
  <si>
    <t>Z-2/2018</t>
  </si>
  <si>
    <t>VS-1/2018</t>
  </si>
  <si>
    <t>UN-1/2018</t>
  </si>
  <si>
    <t>SO-1/2018</t>
  </si>
  <si>
    <t>BP-1/2018</t>
  </si>
  <si>
    <t>LP-1/2018</t>
  </si>
  <si>
    <t>SS-1/2018</t>
  </si>
  <si>
    <t>I-1/2019</t>
  </si>
  <si>
    <r>
      <t xml:space="preserve">SERVER IKT </t>
    </r>
    <r>
      <rPr>
        <b/>
        <i/>
        <u/>
        <sz val="11"/>
        <rFont val="Calibri"/>
        <family val="2"/>
        <scheme val="minor"/>
      </rPr>
      <t>KK 03.2.1.03.0237</t>
    </r>
  </si>
  <si>
    <r>
      <t xml:space="preserve">PREKLOPNIK S 48 ULAZA  </t>
    </r>
    <r>
      <rPr>
        <b/>
        <i/>
        <u/>
        <sz val="11"/>
        <rFont val="Calibri"/>
        <family val="2"/>
        <scheme val="minor"/>
      </rPr>
      <t>IKT KK 03.2.1.03.0237</t>
    </r>
  </si>
  <si>
    <r>
      <t xml:space="preserve">UREĐAJ ZA NEPR. NAPAJANJE </t>
    </r>
    <r>
      <rPr>
        <b/>
        <i/>
        <u/>
        <sz val="11"/>
        <rFont val="Calibri"/>
        <family val="2"/>
        <scheme val="minor"/>
      </rPr>
      <t>IKT KK 03.2.1.03.0237</t>
    </r>
  </si>
  <si>
    <r>
      <t xml:space="preserve">SERVERSKI ORMAR </t>
    </r>
    <r>
      <rPr>
        <b/>
        <i/>
        <u/>
        <sz val="11"/>
        <rFont val="Calibri"/>
        <family val="2"/>
        <scheme val="minor"/>
      </rPr>
      <t>IKT KK 03.2.1.03.0237</t>
    </r>
  </si>
  <si>
    <r>
      <t xml:space="preserve">UREĐAJ ZA BUCK UP </t>
    </r>
    <r>
      <rPr>
        <b/>
        <i/>
        <u/>
        <sz val="11"/>
        <rFont val="Calibri"/>
        <family val="2"/>
        <scheme val="minor"/>
      </rPr>
      <t>IKT KK 03.2.1.03.0237</t>
    </r>
  </si>
  <si>
    <r>
      <t xml:space="preserve">PRIJENOSNA RAČUNA </t>
    </r>
    <r>
      <rPr>
        <b/>
        <i/>
        <u/>
        <sz val="11"/>
        <rFont val="Calibri"/>
        <family val="2"/>
        <scheme val="minor"/>
      </rPr>
      <t>IKT KK 03.2.1.03.0237</t>
    </r>
  </si>
  <si>
    <r>
      <t xml:space="preserve">STANICE ZA SPAJANJE NA PR </t>
    </r>
    <r>
      <rPr>
        <b/>
        <i/>
        <u/>
        <sz val="11"/>
        <rFont val="Calibri"/>
        <family val="2"/>
        <scheme val="minor"/>
      </rPr>
      <t>IKT KK 03.2.1.03.0237</t>
    </r>
  </si>
  <si>
    <t>175</t>
  </si>
  <si>
    <t>176</t>
  </si>
  <si>
    <t>177</t>
  </si>
  <si>
    <t>178</t>
  </si>
  <si>
    <t>031-12-34</t>
  </si>
  <si>
    <t>GKT1</t>
  </si>
  <si>
    <t>KOT 1</t>
  </si>
  <si>
    <t>P1 do P4 i S1 do S12</t>
  </si>
  <si>
    <t>STEINBOCK 567.15</t>
  </si>
  <si>
    <t>VILIČAR HYSTER</t>
  </si>
  <si>
    <t>BOČNI VILIČAR HUBTEX</t>
  </si>
  <si>
    <t>VILIČAR BOČNI BOSS 567.15</t>
  </si>
  <si>
    <t>POPIS I KONAČNI OBRAČUN AMORTIZACIJE DUGOTRAJNE MATERIJALNE I NEMATERIJALNE IMOVINE NA DAN 31.12.20.</t>
  </si>
  <si>
    <t>2019.</t>
  </si>
  <si>
    <t>MJESEČNA AMORTIZACIJA U 2020. GODINI</t>
  </si>
  <si>
    <t>GODIŠNJA AMORTIZACIJA U 2020. GODINI</t>
  </si>
  <si>
    <t>SADAŠNJA VRIJEDNOST 31.12.20.</t>
  </si>
  <si>
    <t>STOPA 2019. i 2020.</t>
  </si>
  <si>
    <t>GODIŠNJA AMORTIZACIJA U 2020 GODINI</t>
  </si>
  <si>
    <t>GODIŠNJA AMORTIZACIJA U 2020.. GODINI</t>
  </si>
  <si>
    <t>037,000</t>
  </si>
  <si>
    <t>NABAVLJENO U 2018., 2019. i 2020.</t>
  </si>
  <si>
    <t>POJEDINAČNA VRIJEDNOST IMOVINE NA DAN 31.12.2018/19/20</t>
  </si>
  <si>
    <t>SADAŠNJA VRIJEDNOST 31.12.2020.</t>
  </si>
  <si>
    <t>ELIND - elektromontažni radovi - trafostanica</t>
  </si>
  <si>
    <t>Pila Zagreb proširenje kapaciteta pilane</t>
  </si>
  <si>
    <t>STANJE NOVE NV NA 31.12.2019.</t>
  </si>
  <si>
    <t>I-1/2020</t>
  </si>
  <si>
    <t>Backup hard</t>
  </si>
  <si>
    <t>NABAVLJENO U 2020./Prijenos iz pripreme</t>
  </si>
  <si>
    <t>031,300</t>
  </si>
  <si>
    <t>M-1/2020</t>
  </si>
  <si>
    <t>Iphone</t>
  </si>
  <si>
    <t>Nabava 2020./prijenos iz pripreme</t>
  </si>
  <si>
    <t>Amortizacija 2020./stavljeno u upotrebu</t>
  </si>
  <si>
    <t>SV 31.12.2020.</t>
  </si>
  <si>
    <t>Računala i serveri, telekomunikacijska oprema</t>
  </si>
  <si>
    <t>033,1</t>
  </si>
  <si>
    <t>Predujmovi za materijalnu imovinu</t>
  </si>
  <si>
    <t>REKAPITULACIJA OSNOVNIH SREDSTAVA 2020. GODINE</t>
  </si>
  <si>
    <t>MT zajednički</t>
  </si>
  <si>
    <t>MT proizvodnja Vrbovsko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</si>
</sst>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k_n_-;\-* #,##0.00\ _k_n_-;_-* &quot;-&quot;??\ _k_n_-;_-@_-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38"/>
      <scheme val="minor"/>
    </font>
    <font>
      <sz val="11"/>
      <color theme="1"/>
      <name val="Calibri"/>
      <family val="2"/>
      <charset val="238"/>
      <scheme val="minor"/>
    </font>
    <font>
      <b/>
      <sz val="11"/>
      <color theme="1"/>
      <name val="Calibri"/>
      <family val="2"/>
      <charset val="238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Calibri"/>
      <family val="2"/>
      <charset val="238"/>
      <scheme val="minor"/>
    </font>
    <font>
      <b/>
      <sz val="9"/>
      <color theme="1"/>
      <name val="Calibri"/>
      <family val="2"/>
      <charset val="238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charset val="238"/>
      <scheme val="minor"/>
    </font>
    <font>
      <b/>
      <sz val="12"/>
      <color theme="1"/>
      <name val="Calibri"/>
      <family val="2"/>
      <charset val="238"/>
      <scheme val="minor"/>
    </font>
    <font>
      <sz val="9"/>
      <color theme="1"/>
      <name val="Calibri"/>
      <family val="2"/>
      <charset val="238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charset val="238"/>
      <scheme val="minor"/>
    </font>
    <font>
      <b/>
      <i/>
      <sz val="9"/>
      <color theme="1"/>
      <name val="Calibri"/>
      <family val="2"/>
      <charset val="238"/>
      <scheme val="minor"/>
    </font>
    <font>
      <b/>
      <i/>
      <sz val="11"/>
      <color rgb="FFFF0000"/>
      <name val="Calibri"/>
      <family val="2"/>
      <charset val="238"/>
      <scheme val="minor"/>
    </font>
    <font>
      <sz val="8"/>
      <name val="Calibri"/>
      <family val="2"/>
      <scheme val="minor"/>
    </font>
    <font>
      <sz val="9"/>
      <color indexed="81"/>
      <name val="Tahoma"/>
      <family val="2"/>
      <charset val="238"/>
    </font>
    <font>
      <b/>
      <sz val="9"/>
      <color indexed="81"/>
      <name val="Tahoma"/>
      <family val="2"/>
      <charset val="238"/>
    </font>
    <font>
      <sz val="11"/>
      <name val="Calibri"/>
      <family val="2"/>
      <charset val="238"/>
      <scheme val="minor"/>
    </font>
    <font>
      <i/>
      <sz val="11"/>
      <color theme="1"/>
      <name val="Calibri"/>
      <family val="2"/>
      <charset val="238"/>
      <scheme val="minor"/>
    </font>
    <font>
      <b/>
      <i/>
      <u/>
      <sz val="11"/>
      <name val="Calibri"/>
      <family val="2"/>
      <scheme val="minor"/>
    </font>
    <font>
      <i/>
      <sz val="11"/>
      <name val="Calibri"/>
      <family val="2"/>
      <charset val="238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</fills>
  <borders count="58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auto="1"/>
      </left>
      <right style="thin">
        <color indexed="64"/>
      </right>
      <top style="thin">
        <color indexed="64"/>
      </top>
      <bottom/>
      <diagonal/>
    </border>
    <border>
      <left/>
      <right style="thick">
        <color auto="1"/>
      </right>
      <top style="thin">
        <color indexed="64"/>
      </top>
      <bottom/>
      <diagonal/>
    </border>
    <border>
      <left style="thick">
        <color auto="1"/>
      </left>
      <right style="thin">
        <color indexed="64"/>
      </right>
      <top/>
      <bottom/>
      <diagonal/>
    </border>
    <border>
      <left/>
      <right style="thick">
        <color auto="1"/>
      </right>
      <top/>
      <bottom/>
      <diagonal/>
    </border>
    <border>
      <left style="thin">
        <color indexed="64"/>
      </left>
      <right style="thick">
        <color auto="1"/>
      </right>
      <top/>
      <bottom/>
      <diagonal/>
    </border>
    <border>
      <left style="thick">
        <color auto="1"/>
      </left>
      <right/>
      <top style="thin">
        <color indexed="64"/>
      </top>
      <bottom/>
      <diagonal/>
    </border>
    <border>
      <left style="thick">
        <color auto="1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medium">
        <color auto="1"/>
      </right>
      <top/>
      <bottom/>
      <diagonal/>
    </border>
    <border>
      <left style="medium">
        <color auto="1"/>
      </left>
      <right style="thick">
        <color auto="1"/>
      </right>
      <top/>
      <bottom/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thick">
        <color auto="1"/>
      </right>
      <top/>
      <bottom style="thick">
        <color auto="1"/>
      </bottom>
      <diagonal/>
    </border>
    <border>
      <left style="medium">
        <color indexed="64"/>
      </left>
      <right style="medium">
        <color indexed="64"/>
      </right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theme="0" tint="-0.499984740745262"/>
      </top>
      <bottom style="thick">
        <color theme="0" tint="-0.499984740745262"/>
      </bottom>
      <diagonal/>
    </border>
    <border>
      <left style="thin">
        <color indexed="64"/>
      </left>
      <right style="thick">
        <color indexed="64"/>
      </right>
      <top/>
      <bottom style="thick">
        <color auto="1"/>
      </bottom>
      <diagonal/>
    </border>
    <border>
      <left/>
      <right style="medium">
        <color auto="1"/>
      </right>
      <top style="thick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indexed="64"/>
      </left>
      <right/>
      <top style="thick">
        <color auto="1"/>
      </top>
      <bottom/>
      <diagonal/>
    </border>
    <border>
      <left/>
      <right style="thin">
        <color indexed="64"/>
      </right>
      <top style="thick">
        <color auto="1"/>
      </top>
      <bottom/>
      <diagonal/>
    </border>
    <border>
      <left style="thick">
        <color theme="0" tint="-0.499984740745262"/>
      </left>
      <right/>
      <top style="thick">
        <color theme="0" tint="-0.499984740745262"/>
      </top>
      <bottom style="thick">
        <color theme="0" tint="-0.499984740745262"/>
      </bottom>
      <diagonal/>
    </border>
    <border>
      <left style="thick">
        <color theme="0" tint="-0.499984740745262"/>
      </left>
      <right/>
      <top/>
      <bottom/>
      <diagonal/>
    </border>
    <border>
      <left/>
      <right style="thick">
        <color theme="0" tint="-0.499984740745262"/>
      </right>
      <top style="thick">
        <color theme="0" tint="-0.499984740745262"/>
      </top>
      <bottom style="thick">
        <color theme="0" tint="-0.499984740745262"/>
      </bottom>
      <diagonal/>
    </border>
    <border>
      <left/>
      <right style="thick">
        <color theme="0" tint="-0.499984740745262"/>
      </right>
      <top/>
      <bottom/>
      <diagonal/>
    </border>
    <border>
      <left/>
      <right style="thick">
        <color theme="0" tint="-0.499984740745262"/>
      </right>
      <top/>
      <bottom style="thick">
        <color theme="0" tint="-0.499984740745262"/>
      </bottom>
      <diagonal/>
    </border>
    <border>
      <left style="thick">
        <color theme="0" tint="-0.499984740745262"/>
      </left>
      <right style="thick">
        <color theme="0" tint="-0.499984740745262"/>
      </right>
      <top style="thick">
        <color theme="0" tint="-0.499984740745262"/>
      </top>
      <bottom style="thick">
        <color theme="0" tint="-0.499984740745262"/>
      </bottom>
      <diagonal/>
    </border>
    <border>
      <left style="thick">
        <color theme="0" tint="-0.499984740745262"/>
      </left>
      <right style="thick">
        <color theme="0" tint="-0.499984740745262"/>
      </right>
      <top style="thick">
        <color theme="0" tint="-0.499984740745262"/>
      </top>
      <bottom/>
      <diagonal/>
    </border>
    <border>
      <left style="thick">
        <color theme="0" tint="-0.499984740745262"/>
      </left>
      <right style="thick">
        <color theme="0" tint="-0.499984740745262"/>
      </right>
      <top/>
      <bottom style="thick">
        <color theme="0" tint="-0.499984740745262"/>
      </bottom>
      <diagonal/>
    </border>
    <border>
      <left style="thick">
        <color theme="0" tint="-0.499984740745262"/>
      </left>
      <right style="thick">
        <color theme="0" tint="-0.499984740745262"/>
      </right>
      <top/>
      <bottom/>
      <diagonal/>
    </border>
    <border>
      <left style="thick">
        <color theme="0" tint="-0.499984740745262"/>
      </left>
      <right/>
      <top/>
      <bottom style="thick">
        <color theme="0" tint="-0.499984740745262"/>
      </bottom>
      <diagonal/>
    </border>
    <border>
      <left/>
      <right/>
      <top/>
      <bottom style="thick">
        <color theme="0" tint="-0.499984740745262"/>
      </bottom>
      <diagonal/>
    </border>
    <border>
      <left/>
      <right/>
      <top style="thick">
        <color theme="0" tint="-0.499984740745262"/>
      </top>
      <bottom/>
      <diagonal/>
    </border>
    <border>
      <left style="thick">
        <color indexed="64"/>
      </left>
      <right style="thin">
        <color indexed="64"/>
      </right>
      <top style="thick">
        <color auto="1"/>
      </top>
      <bottom/>
      <diagonal/>
    </border>
  </borders>
  <cellStyleXfs count="2">
    <xf numFmtId="0" fontId="0" fillId="0" borderId="0"/>
    <xf numFmtId="164" fontId="12" fillId="0" borderId="0" applyFont="0" applyFill="0" applyBorder="0" applyAlignment="0" applyProtection="0"/>
  </cellStyleXfs>
  <cellXfs count="34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2" fontId="0" fillId="0" borderId="5" xfId="0" applyNumberFormat="1" applyBorder="1" applyAlignment="1">
      <alignment vertical="center"/>
    </xf>
    <xf numFmtId="2" fontId="0" fillId="0" borderId="6" xfId="0" applyNumberFormat="1" applyBorder="1" applyAlignment="1">
      <alignment vertical="center"/>
    </xf>
    <xf numFmtId="9" fontId="0" fillId="0" borderId="3" xfId="0" applyNumberFormat="1" applyBorder="1" applyAlignment="1">
      <alignment vertical="center"/>
    </xf>
    <xf numFmtId="9" fontId="0" fillId="0" borderId="5" xfId="0" applyNumberFormat="1" applyBorder="1" applyAlignment="1">
      <alignment vertical="center"/>
    </xf>
    <xf numFmtId="49" fontId="0" fillId="0" borderId="5" xfId="0" applyNumberFormat="1" applyBorder="1" applyAlignment="1">
      <alignment horizontal="right" vertical="center"/>
    </xf>
    <xf numFmtId="49" fontId="0" fillId="0" borderId="6" xfId="0" applyNumberFormat="1" applyBorder="1" applyAlignment="1">
      <alignment horizontal="right" vertical="center"/>
    </xf>
    <xf numFmtId="4" fontId="0" fillId="0" borderId="2" xfId="0" applyNumberFormat="1" applyBorder="1" applyAlignment="1">
      <alignment vertical="center"/>
    </xf>
    <xf numFmtId="4" fontId="0" fillId="0" borderId="0" xfId="0" applyNumberFormat="1" applyAlignment="1">
      <alignment vertical="center"/>
    </xf>
    <xf numFmtId="4" fontId="0" fillId="0" borderId="5" xfId="0" applyNumberFormat="1" applyBorder="1" applyAlignment="1">
      <alignment vertical="center"/>
    </xf>
    <xf numFmtId="4" fontId="0" fillId="0" borderId="6" xfId="0" applyNumberFormat="1" applyBorder="1" applyAlignment="1">
      <alignment vertical="center"/>
    </xf>
    <xf numFmtId="9" fontId="0" fillId="0" borderId="4" xfId="0" applyNumberFormat="1" applyBorder="1" applyAlignment="1">
      <alignment vertical="center"/>
    </xf>
    <xf numFmtId="9" fontId="0" fillId="0" borderId="6" xfId="0" applyNumberFormat="1" applyBorder="1" applyAlignment="1">
      <alignment vertical="center"/>
    </xf>
    <xf numFmtId="4" fontId="0" fillId="0" borderId="3" xfId="0" applyNumberFormat="1" applyBorder="1" applyAlignment="1">
      <alignment vertical="center"/>
    </xf>
    <xf numFmtId="4" fontId="0" fillId="0" borderId="4" xfId="0" applyNumberFormat="1" applyBorder="1" applyAlignment="1">
      <alignment vertical="center"/>
    </xf>
    <xf numFmtId="49" fontId="0" fillId="0" borderId="4" xfId="0" applyNumberFormat="1" applyBorder="1" applyAlignment="1">
      <alignment horizontal="right" vertical="center"/>
    </xf>
    <xf numFmtId="49" fontId="0" fillId="0" borderId="3" xfId="0" applyNumberFormat="1" applyBorder="1" applyAlignment="1">
      <alignment horizontal="right" vertical="center"/>
    </xf>
    <xf numFmtId="0" fontId="0" fillId="0" borderId="3" xfId="0" applyBorder="1" applyAlignment="1">
      <alignment horizontal="left" vertical="center"/>
    </xf>
    <xf numFmtId="0" fontId="4" fillId="0" borderId="0" xfId="0" applyFont="1" applyAlignment="1">
      <alignment vertical="center"/>
    </xf>
    <xf numFmtId="4" fontId="5" fillId="0" borderId="6" xfId="0" applyNumberFormat="1" applyFont="1" applyBorder="1" applyAlignment="1">
      <alignment vertical="center"/>
    </xf>
    <xf numFmtId="4" fontId="5" fillId="0" borderId="4" xfId="0" applyNumberFormat="1" applyFont="1" applyBorder="1" applyAlignment="1">
      <alignment vertical="center"/>
    </xf>
    <xf numFmtId="0" fontId="2" fillId="0" borderId="0" xfId="0" applyFont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vertical="center"/>
    </xf>
    <xf numFmtId="0" fontId="0" fillId="0" borderId="2" xfId="0" applyBorder="1" applyAlignment="1">
      <alignment horizontal="center" vertical="center"/>
    </xf>
    <xf numFmtId="4" fontId="0" fillId="0" borderId="0" xfId="0" applyNumberFormat="1"/>
    <xf numFmtId="0" fontId="7" fillId="0" borderId="0" xfId="0" applyFont="1" applyAlignment="1">
      <alignment horizontal="center"/>
    </xf>
    <xf numFmtId="0" fontId="7" fillId="0" borderId="0" xfId="0" applyFont="1"/>
    <xf numFmtId="4" fontId="7" fillId="0" borderId="0" xfId="0" applyNumberFormat="1" applyFont="1"/>
    <xf numFmtId="0" fontId="8" fillId="0" borderId="0" xfId="0" applyFont="1" applyAlignment="1">
      <alignment horizontal="center"/>
    </xf>
    <xf numFmtId="0" fontId="8" fillId="0" borderId="0" xfId="0" applyFont="1"/>
    <xf numFmtId="4" fontId="8" fillId="0" borderId="0" xfId="0" applyNumberFormat="1" applyFont="1"/>
    <xf numFmtId="2" fontId="8" fillId="0" borderId="0" xfId="0" applyNumberFormat="1" applyFont="1"/>
    <xf numFmtId="49" fontId="0" fillId="0" borderId="6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4" fontId="0" fillId="0" borderId="6" xfId="0" applyNumberFormat="1" applyBorder="1" applyAlignment="1">
      <alignment horizontal="right"/>
    </xf>
    <xf numFmtId="0" fontId="0" fillId="0" borderId="6" xfId="0" applyBorder="1"/>
    <xf numFmtId="9" fontId="0" fillId="0" borderId="6" xfId="0" applyNumberFormat="1" applyBorder="1"/>
    <xf numFmtId="2" fontId="0" fillId="0" borderId="6" xfId="0" applyNumberFormat="1" applyBorder="1"/>
    <xf numFmtId="4" fontId="0" fillId="0" borderId="6" xfId="0" applyNumberFormat="1" applyBorder="1"/>
    <xf numFmtId="0" fontId="1" fillId="0" borderId="0" xfId="0" applyFont="1"/>
    <xf numFmtId="0" fontId="11" fillId="0" borderId="0" xfId="0" applyFont="1" applyAlignment="1">
      <alignment vertical="center"/>
    </xf>
    <xf numFmtId="0" fontId="0" fillId="0" borderId="5" xfId="0" applyBorder="1" applyAlignment="1">
      <alignment horizontal="right" vertical="center"/>
    </xf>
    <xf numFmtId="0" fontId="0" fillId="0" borderId="6" xfId="0" applyBorder="1" applyAlignment="1">
      <alignment horizontal="right" vertical="center"/>
    </xf>
    <xf numFmtId="0" fontId="0" fillId="0" borderId="9" xfId="0" applyBorder="1" applyAlignment="1">
      <alignment vertical="center"/>
    </xf>
    <xf numFmtId="4" fontId="0" fillId="0" borderId="10" xfId="0" applyNumberFormat="1" applyBorder="1" applyAlignment="1">
      <alignment vertical="center"/>
    </xf>
    <xf numFmtId="0" fontId="0" fillId="0" borderId="11" xfId="0" applyBorder="1" applyAlignment="1">
      <alignment vertical="center"/>
    </xf>
    <xf numFmtId="4" fontId="0" fillId="0" borderId="12" xfId="0" applyNumberFormat="1" applyBorder="1" applyAlignment="1">
      <alignment vertical="center"/>
    </xf>
    <xf numFmtId="4" fontId="0" fillId="0" borderId="13" xfId="0" applyNumberFormat="1" applyBorder="1" applyAlignment="1">
      <alignment vertical="center"/>
    </xf>
    <xf numFmtId="0" fontId="0" fillId="0" borderId="14" xfId="0" applyBorder="1" applyAlignment="1">
      <alignment vertical="center"/>
    </xf>
    <xf numFmtId="49" fontId="0" fillId="0" borderId="2" xfId="0" applyNumberFormat="1" applyBorder="1" applyAlignment="1">
      <alignment horizontal="right" vertical="center"/>
    </xf>
    <xf numFmtId="0" fontId="0" fillId="0" borderId="2" xfId="0" applyBorder="1" applyAlignment="1">
      <alignment horizontal="left" vertical="center"/>
    </xf>
    <xf numFmtId="0" fontId="0" fillId="0" borderId="2" xfId="0" applyBorder="1" applyAlignment="1">
      <alignment vertical="center"/>
    </xf>
    <xf numFmtId="9" fontId="0" fillId="0" borderId="2" xfId="0" applyNumberFormat="1" applyBorder="1" applyAlignment="1">
      <alignment vertical="center"/>
    </xf>
    <xf numFmtId="0" fontId="0" fillId="0" borderId="15" xfId="0" applyBorder="1" applyAlignment="1">
      <alignment vertical="center"/>
    </xf>
    <xf numFmtId="49" fontId="0" fillId="0" borderId="0" xfId="0" applyNumberFormat="1" applyAlignment="1">
      <alignment horizontal="right" vertical="center"/>
    </xf>
    <xf numFmtId="9" fontId="0" fillId="0" borderId="0" xfId="0" applyNumberFormat="1" applyAlignment="1">
      <alignment vertical="center"/>
    </xf>
    <xf numFmtId="2" fontId="0" fillId="0" borderId="16" xfId="0" applyNumberFormat="1" applyBorder="1"/>
    <xf numFmtId="4" fontId="4" fillId="0" borderId="0" xfId="0" applyNumberFormat="1" applyFont="1" applyAlignment="1">
      <alignment vertical="center"/>
    </xf>
    <xf numFmtId="0" fontId="13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0" fillId="0" borderId="6" xfId="0" applyBorder="1" applyAlignment="1">
      <alignment vertical="center" wrapText="1"/>
    </xf>
    <xf numFmtId="0" fontId="0" fillId="0" borderId="4" xfId="0" applyBorder="1" applyAlignment="1">
      <alignment horizontal="left" vertical="center"/>
    </xf>
    <xf numFmtId="0" fontId="3" fillId="0" borderId="1" xfId="0" applyFont="1" applyBorder="1" applyAlignment="1">
      <alignment horizontal="center" vertical="center"/>
    </xf>
    <xf numFmtId="4" fontId="0" fillId="0" borderId="23" xfId="0" applyNumberFormat="1" applyBorder="1" applyAlignment="1">
      <alignment vertical="center"/>
    </xf>
    <xf numFmtId="4" fontId="0" fillId="0" borderId="20" xfId="0" applyNumberFormat="1" applyBorder="1" applyAlignment="1">
      <alignment vertical="center"/>
    </xf>
    <xf numFmtId="4" fontId="0" fillId="0" borderId="21" xfId="0" applyNumberFormat="1" applyBorder="1" applyAlignment="1">
      <alignment vertical="center"/>
    </xf>
    <xf numFmtId="4" fontId="0" fillId="0" borderId="22" xfId="0" applyNumberFormat="1" applyBorder="1" applyAlignment="1">
      <alignment vertical="center"/>
    </xf>
    <xf numFmtId="4" fontId="4" fillId="0" borderId="6" xfId="0" applyNumberFormat="1" applyFont="1" applyBorder="1" applyAlignment="1">
      <alignment vertical="center"/>
    </xf>
    <xf numFmtId="10" fontId="0" fillId="0" borderId="4" xfId="0" applyNumberFormat="1" applyBorder="1" applyAlignment="1">
      <alignment vertical="center"/>
    </xf>
    <xf numFmtId="0" fontId="0" fillId="0" borderId="20" xfId="0" applyBorder="1" applyAlignment="1">
      <alignment vertical="center"/>
    </xf>
    <xf numFmtId="0" fontId="0" fillId="0" borderId="22" xfId="0" applyBorder="1" applyAlignment="1">
      <alignment vertical="center"/>
    </xf>
    <xf numFmtId="0" fontId="0" fillId="0" borderId="23" xfId="0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24" xfId="0" applyBorder="1" applyAlignment="1">
      <alignment vertical="center"/>
    </xf>
    <xf numFmtId="0" fontId="0" fillId="0" borderId="25" xfId="0" applyBorder="1" applyAlignment="1">
      <alignment vertical="center"/>
    </xf>
    <xf numFmtId="4" fontId="0" fillId="0" borderId="15" xfId="0" applyNumberFormat="1" applyBorder="1" applyAlignment="1">
      <alignment vertical="center"/>
    </xf>
    <xf numFmtId="4" fontId="0" fillId="0" borderId="25" xfId="0" applyNumberFormat="1" applyBorder="1" applyAlignment="1">
      <alignment vertical="center"/>
    </xf>
    <xf numFmtId="0" fontId="0" fillId="0" borderId="25" xfId="0" applyBorder="1"/>
    <xf numFmtId="4" fontId="0" fillId="0" borderId="23" xfId="0" applyNumberFormat="1" applyBorder="1"/>
    <xf numFmtId="10" fontId="0" fillId="0" borderId="3" xfId="0" applyNumberFormat="1" applyBorder="1" applyAlignment="1">
      <alignment vertical="center"/>
    </xf>
    <xf numFmtId="4" fontId="0" fillId="0" borderId="24" xfId="0" applyNumberFormat="1" applyBorder="1" applyAlignment="1">
      <alignment vertical="center"/>
    </xf>
    <xf numFmtId="0" fontId="0" fillId="0" borderId="16" xfId="0" applyBorder="1"/>
    <xf numFmtId="0" fontId="0" fillId="0" borderId="8" xfId="0" applyBorder="1"/>
    <xf numFmtId="0" fontId="0" fillId="0" borderId="26" xfId="0" applyBorder="1"/>
    <xf numFmtId="2" fontId="0" fillId="0" borderId="21" xfId="0" applyNumberFormat="1" applyBorder="1"/>
    <xf numFmtId="3" fontId="0" fillId="0" borderId="5" xfId="0" applyNumberFormat="1" applyBorder="1" applyAlignment="1">
      <alignment vertical="center"/>
    </xf>
    <xf numFmtId="3" fontId="0" fillId="0" borderId="6" xfId="0" applyNumberFormat="1" applyBorder="1" applyAlignment="1">
      <alignment vertical="center"/>
    </xf>
    <xf numFmtId="0" fontId="4" fillId="0" borderId="6" xfId="0" applyFont="1" applyBorder="1" applyAlignment="1">
      <alignment vertical="center"/>
    </xf>
    <xf numFmtId="4" fontId="4" fillId="0" borderId="4" xfId="0" applyNumberFormat="1" applyFont="1" applyBorder="1" applyAlignment="1">
      <alignment vertical="center"/>
    </xf>
    <xf numFmtId="3" fontId="4" fillId="0" borderId="6" xfId="0" applyNumberFormat="1" applyFont="1" applyBorder="1" applyAlignment="1">
      <alignment vertical="center"/>
    </xf>
    <xf numFmtId="4" fontId="4" fillId="0" borderId="22" xfId="0" applyNumberFormat="1" applyFont="1" applyBorder="1" applyAlignment="1">
      <alignment vertical="center"/>
    </xf>
    <xf numFmtId="4" fontId="4" fillId="0" borderId="23" xfId="0" applyNumberFormat="1" applyFont="1" applyBorder="1" applyAlignment="1">
      <alignment vertical="center"/>
    </xf>
    <xf numFmtId="4" fontId="5" fillId="0" borderId="0" xfId="0" applyNumberFormat="1" applyFont="1" applyAlignment="1">
      <alignment vertical="center"/>
    </xf>
    <xf numFmtId="4" fontId="4" fillId="0" borderId="13" xfId="0" applyNumberFormat="1" applyFont="1" applyBorder="1" applyAlignment="1">
      <alignment vertical="center"/>
    </xf>
    <xf numFmtId="4" fontId="4" fillId="0" borderId="15" xfId="0" applyNumberFormat="1" applyFont="1" applyBorder="1" applyAlignment="1">
      <alignment vertical="center"/>
    </xf>
    <xf numFmtId="4" fontId="4" fillId="0" borderId="27" xfId="0" applyNumberFormat="1" applyFont="1" applyBorder="1" applyAlignment="1">
      <alignment vertical="center"/>
    </xf>
    <xf numFmtId="4" fontId="4" fillId="0" borderId="24" xfId="0" applyNumberFormat="1" applyFont="1" applyBorder="1" applyAlignment="1">
      <alignment vertical="center"/>
    </xf>
    <xf numFmtId="4" fontId="0" fillId="0" borderId="28" xfId="0" applyNumberFormat="1" applyBorder="1" applyAlignment="1">
      <alignment vertical="center"/>
    </xf>
    <xf numFmtId="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right"/>
    </xf>
    <xf numFmtId="0" fontId="6" fillId="0" borderId="0" xfId="0" applyFont="1"/>
    <xf numFmtId="0" fontId="0" fillId="0" borderId="11" xfId="0" applyBorder="1"/>
    <xf numFmtId="0" fontId="14" fillId="0" borderId="1" xfId="0" applyFont="1" applyBorder="1" applyAlignment="1">
      <alignment horizontal="center" vertical="center" wrapText="1"/>
    </xf>
    <xf numFmtId="4" fontId="3" fillId="4" borderId="1" xfId="0" applyNumberFormat="1" applyFont="1" applyFill="1" applyBorder="1"/>
    <xf numFmtId="4" fontId="3" fillId="5" borderId="1" xfId="0" applyNumberFormat="1" applyFont="1" applyFill="1" applyBorder="1"/>
    <xf numFmtId="9" fontId="3" fillId="5" borderId="1" xfId="0" applyNumberFormat="1" applyFont="1" applyFill="1" applyBorder="1"/>
    <xf numFmtId="4" fontId="0" fillId="3" borderId="30" xfId="0" applyNumberFormat="1" applyFill="1" applyBorder="1"/>
    <xf numFmtId="4" fontId="3" fillId="3" borderId="31" xfId="0" applyNumberFormat="1" applyFont="1" applyFill="1" applyBorder="1"/>
    <xf numFmtId="4" fontId="0" fillId="3" borderId="1" xfId="0" applyNumberFormat="1" applyFill="1" applyBorder="1"/>
    <xf numFmtId="0" fontId="3" fillId="4" borderId="1" xfId="0" applyFont="1" applyFill="1" applyBorder="1" applyAlignment="1"/>
    <xf numFmtId="4" fontId="3" fillId="4" borderId="1" xfId="0" applyNumberFormat="1" applyFont="1" applyFill="1" applyBorder="1" applyAlignment="1"/>
    <xf numFmtId="4" fontId="3" fillId="2" borderId="1" xfId="0" applyNumberFormat="1" applyFont="1" applyFill="1" applyBorder="1"/>
    <xf numFmtId="0" fontId="6" fillId="0" borderId="0" xfId="0" applyFont="1" applyAlignment="1">
      <alignment vertical="center"/>
    </xf>
    <xf numFmtId="164" fontId="0" fillId="0" borderId="0" xfId="1" applyFont="1" applyAlignment="1">
      <alignment vertical="center"/>
    </xf>
    <xf numFmtId="0" fontId="15" fillId="0" borderId="0" xfId="0" applyFont="1" applyAlignment="1">
      <alignment vertical="center"/>
    </xf>
    <xf numFmtId="4" fontId="0" fillId="0" borderId="0" xfId="0" applyNumberFormat="1" applyBorder="1" applyAlignment="1">
      <alignment vertical="center"/>
    </xf>
    <xf numFmtId="4" fontId="5" fillId="0" borderId="0" xfId="0" applyNumberFormat="1" applyFont="1" applyBorder="1" applyAlignment="1">
      <alignment vertical="center"/>
    </xf>
    <xf numFmtId="0" fontId="0" fillId="0" borderId="0" xfId="0" applyBorder="1" applyAlignment="1">
      <alignment vertical="center"/>
    </xf>
    <xf numFmtId="0" fontId="4" fillId="0" borderId="22" xfId="0" applyFont="1" applyBorder="1" applyAlignment="1">
      <alignment vertical="center"/>
    </xf>
    <xf numFmtId="4" fontId="3" fillId="5" borderId="1" xfId="0" applyNumberFormat="1" applyFont="1" applyFill="1" applyBorder="1" applyAlignment="1">
      <alignment vertical="center"/>
    </xf>
    <xf numFmtId="4" fontId="3" fillId="2" borderId="1" xfId="0" applyNumberFormat="1" applyFont="1" applyFill="1" applyBorder="1" applyAlignment="1">
      <alignment vertical="center"/>
    </xf>
    <xf numFmtId="9" fontId="3" fillId="5" borderId="1" xfId="0" applyNumberFormat="1" applyFont="1" applyFill="1" applyBorder="1" applyAlignment="1">
      <alignment vertical="center"/>
    </xf>
    <xf numFmtId="4" fontId="0" fillId="3" borderId="1" xfId="0" applyNumberFormat="1" applyFill="1" applyBorder="1" applyAlignment="1">
      <alignment vertical="center"/>
    </xf>
    <xf numFmtId="4" fontId="0" fillId="3" borderId="30" xfId="0" applyNumberFormat="1" applyFill="1" applyBorder="1" applyAlignment="1">
      <alignment vertical="center"/>
    </xf>
    <xf numFmtId="4" fontId="3" fillId="3" borderId="31" xfId="0" applyNumberFormat="1" applyFont="1" applyFill="1" applyBorder="1" applyAlignment="1">
      <alignment vertical="center"/>
    </xf>
    <xf numFmtId="4" fontId="3" fillId="4" borderId="1" xfId="0" applyNumberFormat="1" applyFont="1" applyFill="1" applyBorder="1" applyAlignment="1">
      <alignment vertical="center"/>
    </xf>
    <xf numFmtId="0" fontId="3" fillId="4" borderId="1" xfId="0" applyFont="1" applyFill="1" applyBorder="1" applyAlignment="1">
      <alignment vertical="center"/>
    </xf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horizontal="center" vertical="center"/>
    </xf>
    <xf numFmtId="4" fontId="3" fillId="0" borderId="0" xfId="0" applyNumberFormat="1" applyFont="1" applyAlignment="1">
      <alignment vertical="center"/>
    </xf>
    <xf numFmtId="4" fontId="6" fillId="0" borderId="0" xfId="0" applyNumberFormat="1" applyFont="1" applyAlignment="1">
      <alignment vertical="center"/>
    </xf>
    <xf numFmtId="3" fontId="0" fillId="0" borderId="0" xfId="0" applyNumberFormat="1" applyAlignment="1">
      <alignment horizontal="center" vertical="center"/>
    </xf>
    <xf numFmtId="3" fontId="6" fillId="3" borderId="32" xfId="0" applyNumberFormat="1" applyFont="1" applyFill="1" applyBorder="1" applyAlignment="1">
      <alignment horizontal="center" vertical="center"/>
    </xf>
    <xf numFmtId="4" fontId="0" fillId="0" borderId="33" xfId="0" applyNumberFormat="1" applyBorder="1" applyAlignment="1">
      <alignment vertical="center"/>
    </xf>
    <xf numFmtId="10" fontId="4" fillId="0" borderId="0" xfId="0" applyNumberFormat="1" applyFont="1" applyAlignment="1">
      <alignment vertical="center"/>
    </xf>
    <xf numFmtId="10" fontId="0" fillId="0" borderId="0" xfId="0" applyNumberFormat="1" applyAlignment="1">
      <alignment vertical="center"/>
    </xf>
    <xf numFmtId="0" fontId="5" fillId="0" borderId="6" xfId="0" applyFont="1" applyBorder="1" applyAlignment="1">
      <alignment vertical="center"/>
    </xf>
    <xf numFmtId="9" fontId="5" fillId="0" borderId="4" xfId="0" applyNumberFormat="1" applyFont="1" applyBorder="1" applyAlignment="1">
      <alignment vertical="center"/>
    </xf>
    <xf numFmtId="9" fontId="5" fillId="0" borderId="6" xfId="0" applyNumberFormat="1" applyFont="1" applyBorder="1" applyAlignment="1">
      <alignment vertical="center"/>
    </xf>
    <xf numFmtId="4" fontId="5" fillId="0" borderId="13" xfId="0" applyNumberFormat="1" applyFont="1" applyBorder="1" applyAlignment="1">
      <alignment vertical="center"/>
    </xf>
    <xf numFmtId="0" fontId="0" fillId="0" borderId="11" xfId="0" applyBorder="1" applyAlignment="1">
      <alignment horizontal="center" vertical="center"/>
    </xf>
    <xf numFmtId="0" fontId="14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4" fontId="0" fillId="0" borderId="34" xfId="0" applyNumberFormat="1" applyBorder="1" applyAlignment="1">
      <alignment vertical="center"/>
    </xf>
    <xf numFmtId="4" fontId="0" fillId="0" borderId="35" xfId="0" applyNumberFormat="1" applyBorder="1" applyAlignment="1">
      <alignment vertical="center"/>
    </xf>
    <xf numFmtId="4" fontId="4" fillId="0" borderId="35" xfId="0" applyNumberFormat="1" applyFont="1" applyBorder="1" applyAlignment="1">
      <alignment vertical="center"/>
    </xf>
    <xf numFmtId="4" fontId="5" fillId="0" borderId="33" xfId="0" applyNumberFormat="1" applyFont="1" applyBorder="1" applyAlignment="1">
      <alignment vertical="center"/>
    </xf>
    <xf numFmtId="10" fontId="0" fillId="0" borderId="36" xfId="0" applyNumberFormat="1" applyBorder="1" applyAlignment="1">
      <alignment vertical="center"/>
    </xf>
    <xf numFmtId="10" fontId="0" fillId="0" borderId="6" xfId="0" applyNumberFormat="1" applyBorder="1" applyAlignment="1">
      <alignment vertical="center"/>
    </xf>
    <xf numFmtId="4" fontId="0" fillId="0" borderId="36" xfId="0" applyNumberFormat="1" applyBorder="1" applyAlignment="1">
      <alignment vertical="center"/>
    </xf>
    <xf numFmtId="0" fontId="14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4" fillId="0" borderId="1" xfId="0" applyFont="1" applyBorder="1" applyAlignment="1">
      <alignment horizontal="center" vertical="center" wrapText="1"/>
    </xf>
    <xf numFmtId="49" fontId="5" fillId="0" borderId="4" xfId="0" applyNumberFormat="1" applyFont="1" applyBorder="1" applyAlignment="1">
      <alignment horizontal="right" vertical="center"/>
    </xf>
    <xf numFmtId="0" fontId="5" fillId="0" borderId="0" xfId="0" applyFont="1" applyBorder="1" applyAlignment="1">
      <alignment vertical="center"/>
    </xf>
    <xf numFmtId="49" fontId="19" fillId="0" borderId="4" xfId="0" applyNumberFormat="1" applyFont="1" applyBorder="1" applyAlignment="1">
      <alignment horizontal="center" vertical="center"/>
    </xf>
    <xf numFmtId="10" fontId="4" fillId="0" borderId="4" xfId="0" applyNumberFormat="1" applyFont="1" applyBorder="1" applyAlignment="1">
      <alignment vertical="center"/>
    </xf>
    <xf numFmtId="4" fontId="4" fillId="0" borderId="12" xfId="0" applyNumberFormat="1" applyFont="1" applyBorder="1" applyAlignment="1">
      <alignment vertical="center"/>
    </xf>
    <xf numFmtId="0" fontId="6" fillId="0" borderId="0" xfId="0" applyFont="1" applyAlignment="1">
      <alignment horizontal="left"/>
    </xf>
    <xf numFmtId="0" fontId="0" fillId="0" borderId="0" xfId="0" applyAlignment="1">
      <alignment horizontal="left" vertical="center"/>
    </xf>
    <xf numFmtId="0" fontId="0" fillId="0" borderId="9" xfId="0" applyBorder="1" applyAlignment="1">
      <alignment horizontal="center" vertical="center"/>
    </xf>
    <xf numFmtId="3" fontId="0" fillId="0" borderId="4" xfId="0" applyNumberFormat="1" applyBorder="1" applyAlignment="1">
      <alignment vertical="center"/>
    </xf>
    <xf numFmtId="0" fontId="15" fillId="0" borderId="22" xfId="0" applyFont="1" applyBorder="1" applyAlignment="1">
      <alignment vertical="center"/>
    </xf>
    <xf numFmtId="4" fontId="15" fillId="0" borderId="23" xfId="0" applyNumberFormat="1" applyFont="1" applyBorder="1" applyAlignment="1">
      <alignment vertical="center"/>
    </xf>
    <xf numFmtId="0" fontId="14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4" fontId="15" fillId="0" borderId="0" xfId="0" applyNumberFormat="1" applyFont="1" applyAlignment="1">
      <alignment vertical="center"/>
    </xf>
    <xf numFmtId="4" fontId="15" fillId="0" borderId="12" xfId="0" applyNumberFormat="1" applyFont="1" applyBorder="1" applyAlignment="1">
      <alignment vertical="center"/>
    </xf>
    <xf numFmtId="4" fontId="15" fillId="0" borderId="15" xfId="0" applyNumberFormat="1" applyFont="1" applyBorder="1" applyAlignment="1">
      <alignment vertical="center"/>
    </xf>
    <xf numFmtId="49" fontId="6" fillId="0" borderId="0" xfId="0" applyNumberFormat="1" applyFont="1" applyAlignment="1">
      <alignment horizontal="right" vertical="center"/>
    </xf>
    <xf numFmtId="49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right" vertical="center"/>
    </xf>
    <xf numFmtId="0" fontId="6" fillId="0" borderId="0" xfId="0" applyFont="1" applyAlignment="1">
      <alignment horizontal="right" vertical="center"/>
    </xf>
    <xf numFmtId="49" fontId="6" fillId="0" borderId="0" xfId="0" applyNumberFormat="1" applyFont="1" applyAlignment="1">
      <alignment horizontal="center" vertical="center"/>
    </xf>
    <xf numFmtId="4" fontId="6" fillId="0" borderId="0" xfId="0" applyNumberFormat="1" applyFont="1" applyAlignment="1">
      <alignment horizontal="center" vertical="center"/>
    </xf>
    <xf numFmtId="4" fontId="6" fillId="6" borderId="32" xfId="0" applyNumberFormat="1" applyFont="1" applyFill="1" applyBorder="1" applyAlignment="1">
      <alignment horizontal="center" vertical="center"/>
    </xf>
    <xf numFmtId="4" fontId="6" fillId="6" borderId="32" xfId="0" applyNumberFormat="1" applyFont="1" applyFill="1" applyBorder="1" applyAlignment="1">
      <alignment horizontal="center" vertical="center" wrapText="1"/>
    </xf>
    <xf numFmtId="4" fontId="6" fillId="4" borderId="32" xfId="0" applyNumberFormat="1" applyFont="1" applyFill="1" applyBorder="1" applyAlignment="1">
      <alignment horizontal="center" vertical="center"/>
    </xf>
    <xf numFmtId="49" fontId="6" fillId="3" borderId="32" xfId="0" applyNumberFormat="1" applyFont="1" applyFill="1" applyBorder="1" applyAlignment="1">
      <alignment horizontal="center" vertical="center"/>
    </xf>
    <xf numFmtId="4" fontId="20" fillId="0" borderId="0" xfId="0" applyNumberFormat="1" applyFont="1" applyAlignment="1">
      <alignment horizontal="center" vertical="center"/>
    </xf>
    <xf numFmtId="4" fontId="6" fillId="6" borderId="45" xfId="0" applyNumberFormat="1" applyFont="1" applyFill="1" applyBorder="1" applyAlignment="1">
      <alignment horizontal="center" vertical="center"/>
    </xf>
    <xf numFmtId="49" fontId="6" fillId="3" borderId="45" xfId="0" applyNumberFormat="1" applyFont="1" applyFill="1" applyBorder="1" applyAlignment="1">
      <alignment horizontal="center" vertical="center"/>
    </xf>
    <xf numFmtId="4" fontId="6" fillId="4" borderId="45" xfId="0" applyNumberFormat="1" applyFont="1" applyFill="1" applyBorder="1" applyAlignment="1">
      <alignment horizontal="center" vertical="center"/>
    </xf>
    <xf numFmtId="49" fontId="6" fillId="3" borderId="47" xfId="0" applyNumberFormat="1" applyFont="1" applyFill="1" applyBorder="1" applyAlignment="1">
      <alignment horizontal="center" vertical="center"/>
    </xf>
    <xf numFmtId="3" fontId="6" fillId="3" borderId="47" xfId="0" applyNumberFormat="1" applyFont="1" applyFill="1" applyBorder="1" applyAlignment="1">
      <alignment horizontal="center" vertical="center"/>
    </xf>
    <xf numFmtId="3" fontId="6" fillId="4" borderId="47" xfId="0" applyNumberFormat="1" applyFont="1" applyFill="1" applyBorder="1" applyAlignment="1">
      <alignment horizontal="center" vertical="center"/>
    </xf>
    <xf numFmtId="3" fontId="20" fillId="0" borderId="48" xfId="0" applyNumberFormat="1" applyFont="1" applyBorder="1" applyAlignment="1">
      <alignment horizontal="center" vertical="center"/>
    </xf>
    <xf numFmtId="49" fontId="20" fillId="0" borderId="48" xfId="0" applyNumberFormat="1" applyFont="1" applyBorder="1" applyAlignment="1">
      <alignment horizontal="center" vertical="center"/>
    </xf>
    <xf numFmtId="4" fontId="20" fillId="0" borderId="46" xfId="0" applyNumberFormat="1" applyFont="1" applyBorder="1" applyAlignment="1">
      <alignment horizontal="center" vertical="center"/>
    </xf>
    <xf numFmtId="49" fontId="20" fillId="0" borderId="49" xfId="0" applyNumberFormat="1" applyFont="1" applyBorder="1" applyAlignment="1">
      <alignment horizontal="center" vertical="center"/>
    </xf>
    <xf numFmtId="3" fontId="6" fillId="3" borderId="50" xfId="0" applyNumberFormat="1" applyFont="1" applyFill="1" applyBorder="1" applyAlignment="1">
      <alignment horizontal="center" vertical="center"/>
    </xf>
    <xf numFmtId="4" fontId="20" fillId="0" borderId="53" xfId="0" applyNumberFormat="1" applyFont="1" applyBorder="1" applyAlignment="1">
      <alignment horizontal="center" vertical="center"/>
    </xf>
    <xf numFmtId="4" fontId="20" fillId="0" borderId="53" xfId="0" applyNumberFormat="1" applyFont="1" applyBorder="1" applyAlignment="1">
      <alignment horizontal="center" vertical="center" wrapText="1"/>
    </xf>
    <xf numFmtId="4" fontId="20" fillId="0" borderId="52" xfId="0" applyNumberFormat="1" applyFont="1" applyBorder="1" applyAlignment="1">
      <alignment horizontal="center" vertical="center"/>
    </xf>
    <xf numFmtId="3" fontId="20" fillId="0" borderId="0" xfId="0" applyNumberFormat="1" applyFont="1" applyAlignment="1">
      <alignment horizontal="center" vertical="center"/>
    </xf>
    <xf numFmtId="49" fontId="20" fillId="0" borderId="0" xfId="0" applyNumberFormat="1" applyFont="1" applyAlignment="1">
      <alignment horizontal="center" vertical="center"/>
    </xf>
    <xf numFmtId="4" fontId="20" fillId="0" borderId="0" xfId="0" applyNumberFormat="1" applyFont="1" applyAlignment="1">
      <alignment horizontal="center" vertical="center" wrapText="1"/>
    </xf>
    <xf numFmtId="4" fontId="20" fillId="0" borderId="0" xfId="0" applyNumberFormat="1" applyFont="1" applyBorder="1" applyAlignment="1">
      <alignment horizontal="center" vertical="center"/>
    </xf>
    <xf numFmtId="4" fontId="20" fillId="0" borderId="48" xfId="0" applyNumberFormat="1" applyFont="1" applyBorder="1" applyAlignment="1">
      <alignment horizontal="center" vertical="center"/>
    </xf>
    <xf numFmtId="4" fontId="20" fillId="0" borderId="54" xfId="0" applyNumberFormat="1" applyFont="1" applyBorder="1" applyAlignment="1">
      <alignment horizontal="center" vertical="center"/>
    </xf>
    <xf numFmtId="4" fontId="20" fillId="0" borderId="55" xfId="0" applyNumberFormat="1" applyFont="1" applyBorder="1" applyAlignment="1">
      <alignment horizontal="center" vertical="center"/>
    </xf>
    <xf numFmtId="4" fontId="20" fillId="0" borderId="49" xfId="0" applyNumberFormat="1" applyFont="1" applyBorder="1" applyAlignment="1">
      <alignment horizontal="center" vertical="center"/>
    </xf>
    <xf numFmtId="49" fontId="20" fillId="0" borderId="53" xfId="0" applyNumberFormat="1" applyFont="1" applyBorder="1" applyAlignment="1">
      <alignment horizontal="center" vertical="center"/>
    </xf>
    <xf numFmtId="49" fontId="20" fillId="0" borderId="52" xfId="0" applyNumberFormat="1" applyFont="1" applyBorder="1" applyAlignment="1">
      <alignment horizontal="center" vertical="center"/>
    </xf>
    <xf numFmtId="49" fontId="0" fillId="0" borderId="56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49" fontId="5" fillId="0" borderId="0" xfId="0" applyNumberFormat="1" applyFont="1" applyBorder="1" applyAlignment="1">
      <alignment horizontal="right" vertical="center"/>
    </xf>
    <xf numFmtId="49" fontId="0" fillId="0" borderId="3" xfId="0" applyNumberForma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49" fontId="5" fillId="0" borderId="4" xfId="0" applyNumberFormat="1" applyFont="1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49" fontId="0" fillId="0" borderId="6" xfId="0" applyNumberFormat="1" applyBorder="1" applyAlignment="1">
      <alignment horizontal="center" vertical="center"/>
    </xf>
    <xf numFmtId="49" fontId="5" fillId="0" borderId="6" xfId="0" applyNumberFormat="1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4" xfId="0" applyFont="1" applyBorder="1" applyAlignment="1">
      <alignment horizontal="left" vertical="center"/>
    </xf>
    <xf numFmtId="0" fontId="5" fillId="0" borderId="4" xfId="0" applyFont="1" applyBorder="1" applyAlignment="1">
      <alignment vertical="center"/>
    </xf>
    <xf numFmtId="0" fontId="5" fillId="0" borderId="6" xfId="0" applyFont="1" applyBorder="1" applyAlignment="1">
      <alignment horizontal="left" vertical="center"/>
    </xf>
    <xf numFmtId="0" fontId="5" fillId="0" borderId="6" xfId="0" applyFont="1" applyBorder="1" applyAlignment="1">
      <alignment horizontal="left" vertical="center" wrapText="1"/>
    </xf>
    <xf numFmtId="49" fontId="5" fillId="0" borderId="4" xfId="0" applyNumberFormat="1" applyFont="1" applyBorder="1" applyAlignment="1">
      <alignment horizontal="center" vertical="center" wrapText="1"/>
    </xf>
    <xf numFmtId="49" fontId="5" fillId="0" borderId="4" xfId="0" applyNumberFormat="1" applyFont="1" applyBorder="1" applyAlignment="1">
      <alignment horizontal="right" vertical="center" wrapText="1"/>
    </xf>
    <xf numFmtId="0" fontId="19" fillId="0" borderId="11" xfId="0" applyFont="1" applyBorder="1" applyAlignment="1">
      <alignment horizontal="center" vertical="center"/>
    </xf>
    <xf numFmtId="49" fontId="22" fillId="0" borderId="4" xfId="0" applyNumberFormat="1" applyFont="1" applyBorder="1" applyAlignment="1">
      <alignment horizontal="center" vertical="center"/>
    </xf>
    <xf numFmtId="0" fontId="22" fillId="0" borderId="6" xfId="0" applyFont="1" applyBorder="1" applyAlignment="1">
      <alignment horizontal="left" vertical="center" wrapText="1"/>
    </xf>
    <xf numFmtId="0" fontId="22" fillId="0" borderId="6" xfId="0" applyFont="1" applyBorder="1" applyAlignment="1">
      <alignment vertical="center"/>
    </xf>
    <xf numFmtId="4" fontId="22" fillId="0" borderId="6" xfId="0" applyNumberFormat="1" applyFont="1" applyBorder="1" applyAlignment="1">
      <alignment vertical="center"/>
    </xf>
    <xf numFmtId="0" fontId="22" fillId="0" borderId="4" xfId="0" applyFont="1" applyBorder="1" applyAlignment="1">
      <alignment vertical="center"/>
    </xf>
    <xf numFmtId="4" fontId="22" fillId="0" borderId="0" xfId="0" applyNumberFormat="1" applyFont="1" applyBorder="1" applyAlignment="1">
      <alignment vertical="center"/>
    </xf>
    <xf numFmtId="9" fontId="22" fillId="0" borderId="4" xfId="0" applyNumberFormat="1" applyFont="1" applyBorder="1" applyAlignment="1">
      <alignment vertical="center"/>
    </xf>
    <xf numFmtId="9" fontId="22" fillId="0" borderId="6" xfId="0" applyNumberFormat="1" applyFont="1" applyBorder="1" applyAlignment="1">
      <alignment vertical="center"/>
    </xf>
    <xf numFmtId="4" fontId="22" fillId="0" borderId="13" xfId="0" applyNumberFormat="1" applyFont="1" applyBorder="1" applyAlignment="1">
      <alignment vertical="center"/>
    </xf>
    <xf numFmtId="0" fontId="5" fillId="0" borderId="11" xfId="0" applyFont="1" applyBorder="1" applyAlignment="1">
      <alignment vertical="center"/>
    </xf>
    <xf numFmtId="49" fontId="5" fillId="0" borderId="6" xfId="0" applyNumberFormat="1" applyFont="1" applyBorder="1" applyAlignment="1">
      <alignment horizontal="right" vertical="center"/>
    </xf>
    <xf numFmtId="0" fontId="5" fillId="0" borderId="0" xfId="0" applyFont="1" applyAlignment="1">
      <alignment vertical="center"/>
    </xf>
    <xf numFmtId="10" fontId="5" fillId="0" borderId="4" xfId="0" applyNumberFormat="1" applyFont="1" applyBorder="1" applyAlignment="1">
      <alignment vertical="center"/>
    </xf>
    <xf numFmtId="4" fontId="5" fillId="0" borderId="12" xfId="0" applyNumberFormat="1" applyFont="1" applyBorder="1" applyAlignment="1">
      <alignment vertical="center"/>
    </xf>
    <xf numFmtId="49" fontId="5" fillId="0" borderId="0" xfId="0" applyNumberFormat="1" applyFont="1" applyBorder="1" applyAlignment="1">
      <alignment horizontal="center" vertical="center"/>
    </xf>
    <xf numFmtId="3" fontId="5" fillId="0" borderId="6" xfId="0" applyNumberFormat="1" applyFont="1" applyBorder="1" applyAlignment="1">
      <alignment vertical="center"/>
    </xf>
    <xf numFmtId="10" fontId="5" fillId="0" borderId="6" xfId="0" applyNumberFormat="1" applyFont="1" applyBorder="1" applyAlignment="1">
      <alignment vertical="center"/>
    </xf>
    <xf numFmtId="3" fontId="5" fillId="0" borderId="4" xfId="0" applyNumberFormat="1" applyFont="1" applyBorder="1" applyAlignment="1">
      <alignment vertical="center"/>
    </xf>
    <xf numFmtId="49" fontId="0" fillId="0" borderId="57" xfId="0" applyNumberFormat="1" applyBorder="1" applyAlignment="1">
      <alignment horizontal="center"/>
    </xf>
    <xf numFmtId="49" fontId="0" fillId="0" borderId="11" xfId="0" applyNumberFormat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49" fontId="6" fillId="0" borderId="4" xfId="0" applyNumberFormat="1" applyFont="1" applyBorder="1" applyAlignment="1">
      <alignment horizontal="right" vertical="center"/>
    </xf>
    <xf numFmtId="0" fontId="6" fillId="0" borderId="6" xfId="0" applyFont="1" applyBorder="1" applyAlignment="1">
      <alignment vertical="center"/>
    </xf>
    <xf numFmtId="4" fontId="6" fillId="0" borderId="6" xfId="0" applyNumberFormat="1" applyFont="1" applyBorder="1" applyAlignment="1">
      <alignment vertical="center"/>
    </xf>
    <xf numFmtId="4" fontId="6" fillId="0" borderId="4" xfId="0" applyNumberFormat="1" applyFont="1" applyBorder="1" applyAlignment="1">
      <alignment vertical="center"/>
    </xf>
    <xf numFmtId="3" fontId="6" fillId="0" borderId="6" xfId="0" applyNumberFormat="1" applyFont="1" applyBorder="1" applyAlignment="1">
      <alignment vertical="center"/>
    </xf>
    <xf numFmtId="3" fontId="6" fillId="0" borderId="4" xfId="0" applyNumberFormat="1" applyFont="1" applyBorder="1" applyAlignment="1">
      <alignment vertical="center"/>
    </xf>
    <xf numFmtId="10" fontId="6" fillId="0" borderId="4" xfId="0" applyNumberFormat="1" applyFont="1" applyBorder="1" applyAlignment="1">
      <alignment vertical="center"/>
    </xf>
    <xf numFmtId="9" fontId="6" fillId="0" borderId="4" xfId="0" applyNumberFormat="1" applyFont="1" applyBorder="1" applyAlignment="1">
      <alignment vertical="center"/>
    </xf>
    <xf numFmtId="49" fontId="6" fillId="0" borderId="4" xfId="0" applyNumberFormat="1" applyFont="1" applyBorder="1" applyAlignment="1">
      <alignment horizontal="center" vertical="center"/>
    </xf>
    <xf numFmtId="49" fontId="6" fillId="0" borderId="4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49" fontId="6" fillId="4" borderId="45" xfId="0" applyNumberFormat="1" applyFont="1" applyFill="1" applyBorder="1" applyAlignment="1">
      <alignment horizontal="center" vertical="center"/>
    </xf>
    <xf numFmtId="49" fontId="6" fillId="4" borderId="47" xfId="0" applyNumberFormat="1" applyFont="1" applyFill="1" applyBorder="1" applyAlignment="1">
      <alignment horizontal="center" vertical="center"/>
    </xf>
    <xf numFmtId="0" fontId="6" fillId="6" borderId="45" xfId="0" applyFont="1" applyFill="1" applyBorder="1" applyAlignment="1">
      <alignment horizontal="center" vertical="center"/>
    </xf>
    <xf numFmtId="0" fontId="6" fillId="6" borderId="32" xfId="0" applyFont="1" applyFill="1" applyBorder="1" applyAlignment="1">
      <alignment horizontal="center" vertical="center"/>
    </xf>
    <xf numFmtId="0" fontId="6" fillId="0" borderId="32" xfId="0" applyFont="1" applyBorder="1" applyAlignment="1">
      <alignment horizontal="center" vertical="center"/>
    </xf>
    <xf numFmtId="4" fontId="6" fillId="6" borderId="47" xfId="0" applyNumberFormat="1" applyFont="1" applyFill="1" applyBorder="1" applyAlignment="1">
      <alignment horizontal="center" vertical="center"/>
    </xf>
    <xf numFmtId="49" fontId="6" fillId="6" borderId="47" xfId="0" applyNumberFormat="1" applyFont="1" applyFill="1" applyBorder="1" applyAlignment="1">
      <alignment horizontal="center" vertical="center"/>
    </xf>
    <xf numFmtId="0" fontId="6" fillId="6" borderId="51" xfId="0" applyFont="1" applyFill="1" applyBorder="1" applyAlignment="1">
      <alignment horizontal="center" vertical="center"/>
    </xf>
    <xf numFmtId="0" fontId="6" fillId="6" borderId="52" xfId="0" applyFont="1" applyFill="1" applyBorder="1" applyAlignment="1">
      <alignment horizontal="center" vertical="center"/>
    </xf>
    <xf numFmtId="0" fontId="6" fillId="6" borderId="47" xfId="0" applyFont="1" applyFill="1" applyBorder="1" applyAlignment="1">
      <alignment horizontal="center" vertical="center"/>
    </xf>
    <xf numFmtId="3" fontId="0" fillId="0" borderId="32" xfId="0" applyNumberFormat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14" fillId="0" borderId="1" xfId="0" applyFont="1" applyBorder="1" applyAlignment="1">
      <alignment horizontal="center" vertical="center" wrapText="1"/>
    </xf>
    <xf numFmtId="0" fontId="14" fillId="2" borderId="1" xfId="0" applyFont="1" applyFill="1" applyBorder="1" applyAlignment="1">
      <alignment horizontal="center" vertical="center" wrapText="1"/>
    </xf>
    <xf numFmtId="0" fontId="14" fillId="2" borderId="17" xfId="0" applyFont="1" applyFill="1" applyBorder="1" applyAlignment="1">
      <alignment horizontal="center" vertical="center" wrapText="1"/>
    </xf>
    <xf numFmtId="0" fontId="14" fillId="2" borderId="19" xfId="0" applyFont="1" applyFill="1" applyBorder="1" applyAlignment="1">
      <alignment horizontal="center" vertical="center" wrapText="1"/>
    </xf>
    <xf numFmtId="0" fontId="14" fillId="2" borderId="18" xfId="0" applyFont="1" applyFill="1" applyBorder="1" applyAlignment="1">
      <alignment horizontal="center" vertical="center" wrapText="1"/>
    </xf>
    <xf numFmtId="0" fontId="3" fillId="4" borderId="29" xfId="0" applyFont="1" applyFill="1" applyBorder="1" applyAlignment="1">
      <alignment horizontal="center"/>
    </xf>
    <xf numFmtId="0" fontId="3" fillId="4" borderId="30" xfId="0" applyFont="1" applyFill="1" applyBorder="1" applyAlignment="1">
      <alignment horizontal="center"/>
    </xf>
    <xf numFmtId="0" fontId="3" fillId="4" borderId="31" xfId="0" applyFont="1" applyFill="1" applyBorder="1" applyAlignment="1">
      <alignment horizontal="center"/>
    </xf>
    <xf numFmtId="0" fontId="14" fillId="0" borderId="17" xfId="0" applyFont="1" applyBorder="1" applyAlignment="1">
      <alignment horizontal="center" vertical="center" wrapText="1"/>
    </xf>
    <xf numFmtId="0" fontId="14" fillId="0" borderId="18" xfId="0" applyFont="1" applyBorder="1" applyAlignment="1">
      <alignment horizontal="center" vertical="center" wrapText="1"/>
    </xf>
    <xf numFmtId="0" fontId="6" fillId="4" borderId="29" xfId="0" applyFont="1" applyFill="1" applyBorder="1" applyAlignment="1">
      <alignment horizontal="center"/>
    </xf>
    <xf numFmtId="0" fontId="6" fillId="4" borderId="30" xfId="0" applyFont="1" applyFill="1" applyBorder="1" applyAlignment="1">
      <alignment horizontal="center"/>
    </xf>
    <xf numFmtId="0" fontId="6" fillId="4" borderId="31" xfId="0" applyFont="1" applyFill="1" applyBorder="1" applyAlignment="1">
      <alignment horizontal="center"/>
    </xf>
    <xf numFmtId="0" fontId="6" fillId="3" borderId="29" xfId="0" applyFont="1" applyFill="1" applyBorder="1" applyAlignment="1">
      <alignment horizontal="center"/>
    </xf>
    <xf numFmtId="0" fontId="6" fillId="3" borderId="30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4" fillId="0" borderId="37" xfId="0" applyFont="1" applyBorder="1" applyAlignment="1">
      <alignment horizontal="center" vertical="center" wrapText="1"/>
    </xf>
    <xf numFmtId="0" fontId="14" fillId="0" borderId="38" xfId="0" applyFont="1" applyBorder="1" applyAlignment="1">
      <alignment horizontal="center" vertical="center" wrapText="1"/>
    </xf>
    <xf numFmtId="0" fontId="14" fillId="0" borderId="39" xfId="0" applyFont="1" applyBorder="1" applyAlignment="1">
      <alignment horizontal="center" vertical="center" wrapText="1"/>
    </xf>
    <xf numFmtId="0" fontId="14" fillId="0" borderId="40" xfId="0" applyFont="1" applyBorder="1" applyAlignment="1">
      <alignment horizontal="center" vertical="center" wrapText="1"/>
    </xf>
    <xf numFmtId="0" fontId="14" fillId="0" borderId="41" xfId="0" applyFont="1" applyBorder="1" applyAlignment="1">
      <alignment horizontal="center" vertical="center" wrapText="1"/>
    </xf>
    <xf numFmtId="0" fontId="14" fillId="0" borderId="42" xfId="0" applyFont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/>
    </xf>
    <xf numFmtId="0" fontId="6" fillId="3" borderId="29" xfId="0" applyFont="1" applyFill="1" applyBorder="1" applyAlignment="1">
      <alignment horizontal="center" vertical="center"/>
    </xf>
    <xf numFmtId="0" fontId="6" fillId="3" borderId="30" xfId="0" applyFont="1" applyFill="1" applyBorder="1" applyAlignment="1">
      <alignment horizontal="center" vertical="center"/>
    </xf>
    <xf numFmtId="0" fontId="6" fillId="4" borderId="29" xfId="0" applyFont="1" applyFill="1" applyBorder="1" applyAlignment="1">
      <alignment horizontal="center" vertical="center"/>
    </xf>
    <xf numFmtId="0" fontId="6" fillId="4" borderId="30" xfId="0" applyFont="1" applyFill="1" applyBorder="1" applyAlignment="1">
      <alignment horizontal="center" vertical="center"/>
    </xf>
    <xf numFmtId="0" fontId="6" fillId="4" borderId="31" xfId="0" applyFont="1" applyFill="1" applyBorder="1" applyAlignment="1">
      <alignment horizontal="center" vertical="center"/>
    </xf>
    <xf numFmtId="0" fontId="3" fillId="4" borderId="29" xfId="0" applyFont="1" applyFill="1" applyBorder="1" applyAlignment="1">
      <alignment horizontal="center" vertical="center"/>
    </xf>
    <xf numFmtId="0" fontId="3" fillId="4" borderId="30" xfId="0" applyFont="1" applyFill="1" applyBorder="1" applyAlignment="1">
      <alignment horizontal="center" vertical="center"/>
    </xf>
    <xf numFmtId="0" fontId="3" fillId="4" borderId="31" xfId="0" applyFont="1" applyFill="1" applyBorder="1" applyAlignment="1">
      <alignment horizontal="center" vertical="center"/>
    </xf>
    <xf numFmtId="0" fontId="14" fillId="0" borderId="1" xfId="0" applyFont="1" applyBorder="1" applyAlignment="1">
      <alignment horizontal="left" vertical="center" wrapText="1"/>
    </xf>
    <xf numFmtId="0" fontId="14" fillId="0" borderId="15" xfId="0" applyFont="1" applyBorder="1" applyAlignment="1">
      <alignment horizontal="center" vertical="center" wrapText="1"/>
    </xf>
    <xf numFmtId="0" fontId="14" fillId="0" borderId="0" xfId="0" applyFont="1" applyBorder="1" applyAlignment="1">
      <alignment horizontal="center" vertical="center" wrapText="1"/>
    </xf>
    <xf numFmtId="0" fontId="14" fillId="0" borderId="12" xfId="0" applyFont="1" applyBorder="1" applyAlignment="1">
      <alignment horizontal="center" vertical="center" wrapText="1"/>
    </xf>
    <xf numFmtId="4" fontId="5" fillId="0" borderId="7" xfId="0" applyNumberFormat="1" applyFont="1" applyBorder="1" applyAlignment="1">
      <alignment horizontal="center" vertical="center"/>
    </xf>
    <xf numFmtId="4" fontId="5" fillId="0" borderId="0" xfId="0" applyNumberFormat="1" applyFont="1" applyBorder="1" applyAlignment="1">
      <alignment horizontal="center" vertical="center"/>
    </xf>
    <xf numFmtId="4" fontId="5" fillId="0" borderId="4" xfId="0" applyNumberFormat="1" applyFont="1" applyBorder="1" applyAlignment="1">
      <alignment horizontal="center" vertical="center"/>
    </xf>
    <xf numFmtId="4" fontId="22" fillId="0" borderId="7" xfId="0" applyNumberFormat="1" applyFont="1" applyBorder="1" applyAlignment="1">
      <alignment horizontal="center" vertical="center"/>
    </xf>
    <xf numFmtId="4" fontId="22" fillId="0" borderId="0" xfId="0" applyNumberFormat="1" applyFont="1" applyBorder="1" applyAlignment="1">
      <alignment horizontal="center" vertical="center"/>
    </xf>
    <xf numFmtId="4" fontId="22" fillId="0" borderId="4" xfId="0" applyNumberFormat="1" applyFont="1" applyBorder="1" applyAlignment="1">
      <alignment horizontal="center" vertical="center"/>
    </xf>
    <xf numFmtId="4" fontId="5" fillId="0" borderId="43" xfId="0" applyNumberFormat="1" applyFont="1" applyBorder="1" applyAlignment="1">
      <alignment horizontal="center" vertical="center"/>
    </xf>
    <xf numFmtId="4" fontId="5" fillId="0" borderId="38" xfId="0" applyNumberFormat="1" applyFont="1" applyBorder="1" applyAlignment="1">
      <alignment horizontal="center" vertical="center"/>
    </xf>
    <xf numFmtId="4" fontId="5" fillId="0" borderId="44" xfId="0" applyNumberFormat="1" applyFont="1" applyBorder="1" applyAlignment="1">
      <alignment horizontal="center" vertical="center"/>
    </xf>
    <xf numFmtId="4" fontId="3" fillId="5" borderId="29" xfId="0" applyNumberFormat="1" applyFont="1" applyFill="1" applyBorder="1" applyAlignment="1">
      <alignment horizontal="center" vertical="center"/>
    </xf>
    <xf numFmtId="4" fontId="3" fillId="5" borderId="30" xfId="0" applyNumberFormat="1" applyFont="1" applyFill="1" applyBorder="1" applyAlignment="1">
      <alignment horizontal="center" vertical="center"/>
    </xf>
    <xf numFmtId="4" fontId="3" fillId="5" borderId="31" xfId="0" applyNumberFormat="1" applyFont="1" applyFill="1" applyBorder="1" applyAlignment="1">
      <alignment horizontal="center" vertical="center"/>
    </xf>
    <xf numFmtId="4" fontId="0" fillId="3" borderId="29" xfId="0" applyNumberFormat="1" applyFill="1" applyBorder="1" applyAlignment="1">
      <alignment horizontal="center" vertical="center"/>
    </xf>
    <xf numFmtId="4" fontId="0" fillId="3" borderId="30" xfId="0" applyNumberFormat="1" applyFill="1" applyBorder="1" applyAlignment="1">
      <alignment horizontal="center" vertical="center"/>
    </xf>
    <xf numFmtId="4" fontId="0" fillId="3" borderId="31" xfId="0" applyNumberFormat="1" applyFill="1" applyBorder="1" applyAlignment="1">
      <alignment horizontal="center" vertical="center"/>
    </xf>
    <xf numFmtId="4" fontId="3" fillId="4" borderId="29" xfId="0" applyNumberFormat="1" applyFont="1" applyFill="1" applyBorder="1" applyAlignment="1">
      <alignment horizontal="center" vertical="center"/>
    </xf>
    <xf numFmtId="4" fontId="3" fillId="4" borderId="30" xfId="0" applyNumberFormat="1" applyFont="1" applyFill="1" applyBorder="1" applyAlignment="1">
      <alignment horizontal="center" vertical="center"/>
    </xf>
    <xf numFmtId="4" fontId="3" fillId="4" borderId="31" xfId="0" applyNumberFormat="1" applyFont="1" applyFill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3" fillId="0" borderId="31" xfId="0" applyFont="1" applyBorder="1" applyAlignment="1">
      <alignment horizontal="center" vertical="center"/>
    </xf>
  </cellXfs>
  <cellStyles count="2"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zra/Desktop/POSLOVNO/2018/2018/Amortizacija/AMORTIZACIJA%2031.12.2017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EDAR 012=5 019=3"/>
      <sheetName val="CEDAR 020= 1,2..5  "/>
      <sheetName val="CEDAR 030=11,12,13..21 "/>
      <sheetName val="CEDAR 031=0,11,12,13,14,91  "/>
      <sheetName val="CEDAR 031= 1,92 "/>
      <sheetName val="CEDAR  031=2,90 "/>
      <sheetName val="CEDAR 032=07,7"/>
      <sheetName val="CEDAR 032=01,80"/>
      <sheetName val="CEDAR 032=3,90"/>
      <sheetName val="CEDAR 032=0,91"/>
      <sheetName val="CEDAR  033-034=10,19,60..9003"/>
      <sheetName val="CEDAR 053=0 - 059=0,2 "/>
      <sheetName val="CEDAR 060 "/>
      <sheetName val="VEE 030=0,9"/>
      <sheetName val="VEE 0312=1"/>
      <sheetName val="VEE 031= 0,91"/>
      <sheetName val="CEDAR Dugotrajna imovina"/>
    </sheetNames>
    <sheetDataSet>
      <sheetData sheetId="0"/>
      <sheetData sheetId="1"/>
      <sheetData sheetId="2"/>
      <sheetData sheetId="3"/>
      <sheetData sheetId="4">
        <row r="31">
          <cell r="O31">
            <v>8505</v>
          </cell>
          <cell r="P31">
            <v>1417.5</v>
          </cell>
        </row>
        <row r="32">
          <cell r="O32">
            <v>3550.27</v>
          </cell>
          <cell r="P32">
            <v>3550.27</v>
          </cell>
        </row>
        <row r="33">
          <cell r="O33">
            <v>905</v>
          </cell>
          <cell r="P33"/>
        </row>
        <row r="34">
          <cell r="O34">
            <v>2552.25</v>
          </cell>
          <cell r="P34">
            <v>425.37</v>
          </cell>
        </row>
        <row r="35">
          <cell r="O35">
            <v>1372.54</v>
          </cell>
          <cell r="P35">
            <v>457.5</v>
          </cell>
        </row>
        <row r="36">
          <cell r="O36">
            <v>11535</v>
          </cell>
          <cell r="P36">
            <v>11535</v>
          </cell>
        </row>
        <row r="37">
          <cell r="O37">
            <v>4764.38</v>
          </cell>
          <cell r="P37">
            <v>4764.38</v>
          </cell>
        </row>
        <row r="38">
          <cell r="O38">
            <v>290.62</v>
          </cell>
          <cell r="P38">
            <v>0</v>
          </cell>
        </row>
        <row r="39">
          <cell r="O39">
            <v>20733.52</v>
          </cell>
          <cell r="P39">
            <v>3455.62</v>
          </cell>
        </row>
        <row r="40">
          <cell r="O40">
            <v>1078</v>
          </cell>
          <cell r="P40">
            <v>1078</v>
          </cell>
        </row>
        <row r="41">
          <cell r="O41">
            <v>997.15</v>
          </cell>
          <cell r="P41">
            <v>997.15</v>
          </cell>
        </row>
        <row r="42">
          <cell r="O42">
            <v>5147.4799999999996</v>
          </cell>
          <cell r="P42">
            <v>5147.4799999999996</v>
          </cell>
        </row>
        <row r="43">
          <cell r="O43">
            <v>1632.75</v>
          </cell>
          <cell r="P43">
            <v>1632.75</v>
          </cell>
        </row>
        <row r="44">
          <cell r="O44">
            <v>3000</v>
          </cell>
          <cell r="P44">
            <v>3000</v>
          </cell>
        </row>
        <row r="45">
          <cell r="O45">
            <v>4250</v>
          </cell>
          <cell r="P45">
            <v>4250</v>
          </cell>
        </row>
        <row r="46">
          <cell r="O46">
            <v>3000</v>
          </cell>
          <cell r="P46">
            <v>3000</v>
          </cell>
        </row>
        <row r="47">
          <cell r="O47">
            <v>3000</v>
          </cell>
          <cell r="P47">
            <v>3000</v>
          </cell>
        </row>
        <row r="48">
          <cell r="O48">
            <v>1750</v>
          </cell>
          <cell r="P48">
            <v>1750</v>
          </cell>
        </row>
        <row r="49">
          <cell r="O49">
            <v>3750</v>
          </cell>
          <cell r="P49">
            <v>3750</v>
          </cell>
        </row>
        <row r="50">
          <cell r="O50">
            <v>3750</v>
          </cell>
          <cell r="P50">
            <v>3750</v>
          </cell>
        </row>
        <row r="51">
          <cell r="O51">
            <v>2500</v>
          </cell>
          <cell r="P51">
            <v>2500</v>
          </cell>
        </row>
        <row r="52">
          <cell r="O52">
            <v>1375</v>
          </cell>
          <cell r="P52">
            <v>1375</v>
          </cell>
        </row>
        <row r="53">
          <cell r="O53">
            <v>1000</v>
          </cell>
          <cell r="P53">
            <v>1000</v>
          </cell>
        </row>
        <row r="54">
          <cell r="O54">
            <v>1000</v>
          </cell>
          <cell r="P54">
            <v>1000</v>
          </cell>
        </row>
        <row r="55">
          <cell r="O55">
            <v>1250</v>
          </cell>
          <cell r="P55">
            <v>1250</v>
          </cell>
        </row>
        <row r="56">
          <cell r="O56">
            <v>7656.24</v>
          </cell>
          <cell r="P56">
            <v>7656.24</v>
          </cell>
        </row>
        <row r="57">
          <cell r="O57">
            <v>8161.22</v>
          </cell>
          <cell r="P57">
            <v>8161.22</v>
          </cell>
        </row>
        <row r="58">
          <cell r="O58">
            <v>2375</v>
          </cell>
          <cell r="P58">
            <v>2375</v>
          </cell>
        </row>
        <row r="59">
          <cell r="O59">
            <v>9120</v>
          </cell>
          <cell r="P59">
            <v>9120</v>
          </cell>
        </row>
        <row r="60">
          <cell r="O60">
            <v>2150</v>
          </cell>
          <cell r="P60">
            <v>2150</v>
          </cell>
        </row>
        <row r="61">
          <cell r="O61">
            <v>2371.1999999999998</v>
          </cell>
          <cell r="P61">
            <v>2371.1999999999998</v>
          </cell>
        </row>
        <row r="62">
          <cell r="O62">
            <v>1026.56</v>
          </cell>
          <cell r="P62">
            <v>1026.56</v>
          </cell>
        </row>
        <row r="63">
          <cell r="O63">
            <v>1179.71</v>
          </cell>
          <cell r="P63">
            <v>1179.71</v>
          </cell>
        </row>
        <row r="64">
          <cell r="O64">
            <v>1725</v>
          </cell>
          <cell r="P64">
            <v>1725</v>
          </cell>
        </row>
        <row r="65">
          <cell r="O65">
            <v>2975</v>
          </cell>
          <cell r="P65">
            <v>2975</v>
          </cell>
        </row>
        <row r="66">
          <cell r="O66">
            <v>1350</v>
          </cell>
          <cell r="P66">
            <v>1350</v>
          </cell>
        </row>
        <row r="67">
          <cell r="O67">
            <v>839.85</v>
          </cell>
          <cell r="P67">
            <v>839.85</v>
          </cell>
        </row>
        <row r="68">
          <cell r="O68">
            <v>21875</v>
          </cell>
          <cell r="P68">
            <v>21875</v>
          </cell>
        </row>
        <row r="69">
          <cell r="O69">
            <v>1758.69</v>
          </cell>
          <cell r="P69">
            <v>1758.69</v>
          </cell>
        </row>
        <row r="70">
          <cell r="O70">
            <v>46179.45</v>
          </cell>
          <cell r="P70">
            <v>46179.45</v>
          </cell>
        </row>
      </sheetData>
      <sheetData sheetId="5">
        <row r="51">
          <cell r="O51">
            <v>5873.5</v>
          </cell>
        </row>
        <row r="64">
          <cell r="O64">
            <v>12663.5</v>
          </cell>
          <cell r="P64">
            <v>8442.33</v>
          </cell>
        </row>
        <row r="65">
          <cell r="O65">
            <v>4625.75</v>
          </cell>
          <cell r="P65">
            <v>4625.75</v>
          </cell>
        </row>
        <row r="66">
          <cell r="O66">
            <v>1502.75</v>
          </cell>
          <cell r="P66">
            <v>1502.75</v>
          </cell>
        </row>
        <row r="67">
          <cell r="O67">
            <v>1845.25</v>
          </cell>
          <cell r="P67">
            <v>1845.25</v>
          </cell>
        </row>
        <row r="68">
          <cell r="O68">
            <v>1641.51</v>
          </cell>
          <cell r="P68">
            <v>1641.51</v>
          </cell>
        </row>
        <row r="70">
          <cell r="O70">
            <v>2397.75</v>
          </cell>
          <cell r="P70">
            <v>2397.75</v>
          </cell>
        </row>
        <row r="72">
          <cell r="O72">
            <v>5993.33</v>
          </cell>
          <cell r="P72">
            <v>5993.33</v>
          </cell>
        </row>
        <row r="73">
          <cell r="O73">
            <v>1700.5</v>
          </cell>
          <cell r="P73">
            <v>1700.5</v>
          </cell>
        </row>
        <row r="74">
          <cell r="O74">
            <v>894.04</v>
          </cell>
          <cell r="P74">
            <v>894.04</v>
          </cell>
        </row>
        <row r="75">
          <cell r="O75">
            <v>615.01</v>
          </cell>
          <cell r="P75">
            <v>615.01</v>
          </cell>
        </row>
        <row r="76">
          <cell r="O76">
            <v>461.26</v>
          </cell>
          <cell r="P76">
            <v>461.26</v>
          </cell>
        </row>
        <row r="77">
          <cell r="O77">
            <v>0</v>
          </cell>
          <cell r="P77">
            <v>0</v>
          </cell>
        </row>
        <row r="78">
          <cell r="O78">
            <v>0</v>
          </cell>
          <cell r="P78">
            <v>0</v>
          </cell>
        </row>
      </sheetData>
      <sheetData sheetId="6"/>
      <sheetData sheetId="7">
        <row r="16">
          <cell r="O16">
            <v>150100</v>
          </cell>
          <cell r="P16">
            <v>125083.33</v>
          </cell>
        </row>
        <row r="17">
          <cell r="O17">
            <v>150100</v>
          </cell>
          <cell r="P17">
            <v>125083.33</v>
          </cell>
        </row>
        <row r="18">
          <cell r="O18">
            <v>150100</v>
          </cell>
          <cell r="P18">
            <v>125083.33</v>
          </cell>
        </row>
        <row r="19">
          <cell r="O19">
            <v>150100</v>
          </cell>
          <cell r="P19">
            <v>125083.33</v>
          </cell>
        </row>
        <row r="20">
          <cell r="O20">
            <v>272270</v>
          </cell>
          <cell r="P20">
            <v>0</v>
          </cell>
        </row>
        <row r="21">
          <cell r="O21">
            <v>272270</v>
          </cell>
          <cell r="P21">
            <v>0</v>
          </cell>
        </row>
        <row r="22">
          <cell r="O22">
            <v>272270</v>
          </cell>
          <cell r="P22">
            <v>0</v>
          </cell>
        </row>
        <row r="23">
          <cell r="O23">
            <v>272270</v>
          </cell>
          <cell r="P23">
            <v>0</v>
          </cell>
        </row>
        <row r="24">
          <cell r="O24">
            <v>272270</v>
          </cell>
          <cell r="P24">
            <v>0</v>
          </cell>
        </row>
        <row r="25">
          <cell r="O25">
            <v>291080</v>
          </cell>
          <cell r="P25">
            <v>0</v>
          </cell>
        </row>
        <row r="26">
          <cell r="O26">
            <v>46265</v>
          </cell>
          <cell r="P26">
            <v>0</v>
          </cell>
        </row>
        <row r="27">
          <cell r="O27">
            <v>46265</v>
          </cell>
          <cell r="P27">
            <v>0</v>
          </cell>
        </row>
        <row r="28">
          <cell r="O28">
            <v>46265</v>
          </cell>
          <cell r="P28">
            <v>0</v>
          </cell>
        </row>
        <row r="29">
          <cell r="O29">
            <v>46265</v>
          </cell>
          <cell r="P29">
            <v>0</v>
          </cell>
        </row>
        <row r="30">
          <cell r="O30">
            <v>46265</v>
          </cell>
          <cell r="P30">
            <v>0</v>
          </cell>
        </row>
        <row r="31">
          <cell r="O31">
            <v>46265</v>
          </cell>
          <cell r="P31">
            <v>0</v>
          </cell>
        </row>
        <row r="32">
          <cell r="O32">
            <v>51278.13</v>
          </cell>
          <cell r="P32">
            <v>8546.36</v>
          </cell>
        </row>
        <row r="33">
          <cell r="O33">
            <v>41746.879999999997</v>
          </cell>
          <cell r="P33">
            <v>6957.82</v>
          </cell>
        </row>
        <row r="34">
          <cell r="O34">
            <v>100965</v>
          </cell>
          <cell r="P34">
            <v>0</v>
          </cell>
        </row>
        <row r="35">
          <cell r="O35">
            <v>100965</v>
          </cell>
          <cell r="P35">
            <v>0</v>
          </cell>
        </row>
        <row r="36">
          <cell r="O36">
            <v>47591.25</v>
          </cell>
          <cell r="P36">
            <v>0</v>
          </cell>
        </row>
        <row r="37">
          <cell r="O37">
            <v>47591.25</v>
          </cell>
          <cell r="P37">
            <v>0</v>
          </cell>
        </row>
        <row r="38">
          <cell r="O38">
            <v>41526</v>
          </cell>
          <cell r="P38">
            <v>0</v>
          </cell>
        </row>
        <row r="39">
          <cell r="O39">
            <v>41526</v>
          </cell>
          <cell r="P39">
            <v>0</v>
          </cell>
        </row>
        <row r="40">
          <cell r="O40">
            <v>101919</v>
          </cell>
          <cell r="P40">
            <v>0</v>
          </cell>
        </row>
        <row r="41">
          <cell r="O41">
            <v>274777.75</v>
          </cell>
          <cell r="P41">
            <v>0</v>
          </cell>
        </row>
        <row r="42">
          <cell r="O42">
            <v>274777.75</v>
          </cell>
          <cell r="P42">
            <v>0</v>
          </cell>
        </row>
        <row r="43">
          <cell r="O43">
            <v>269217</v>
          </cell>
          <cell r="P43">
            <v>0</v>
          </cell>
        </row>
        <row r="44">
          <cell r="O44">
            <v>46691.12</v>
          </cell>
          <cell r="P44">
            <v>0</v>
          </cell>
        </row>
        <row r="45">
          <cell r="O45">
            <v>46691.12</v>
          </cell>
          <cell r="P45">
            <v>0</v>
          </cell>
        </row>
        <row r="46">
          <cell r="O46">
            <v>46691.12</v>
          </cell>
          <cell r="P46">
            <v>0</v>
          </cell>
        </row>
        <row r="47">
          <cell r="O47">
            <v>101919</v>
          </cell>
          <cell r="P47">
            <v>0</v>
          </cell>
        </row>
        <row r="48">
          <cell r="O48">
            <v>150622.5</v>
          </cell>
          <cell r="P48">
            <v>0</v>
          </cell>
        </row>
        <row r="49">
          <cell r="O49">
            <v>150622.5</v>
          </cell>
          <cell r="P49">
            <v>0</v>
          </cell>
        </row>
        <row r="50">
          <cell r="O50">
            <v>150622.5</v>
          </cell>
          <cell r="P50">
            <v>0</v>
          </cell>
        </row>
        <row r="51">
          <cell r="O51">
            <v>150622.5</v>
          </cell>
          <cell r="P51">
            <v>0</v>
          </cell>
        </row>
        <row r="52">
          <cell r="O52">
            <v>264842.5</v>
          </cell>
          <cell r="P52">
            <v>0</v>
          </cell>
        </row>
        <row r="53">
          <cell r="O53">
            <v>264842.5</v>
          </cell>
          <cell r="P53">
            <v>0</v>
          </cell>
        </row>
        <row r="54">
          <cell r="O54">
            <v>264842.5</v>
          </cell>
          <cell r="P54">
            <v>0</v>
          </cell>
        </row>
        <row r="55">
          <cell r="O55">
            <v>259093.25</v>
          </cell>
          <cell r="P55">
            <v>0</v>
          </cell>
        </row>
        <row r="56">
          <cell r="O56">
            <v>259093.25</v>
          </cell>
          <cell r="P56">
            <v>0</v>
          </cell>
        </row>
        <row r="57">
          <cell r="O57">
            <v>259093.25</v>
          </cell>
          <cell r="P57">
            <v>0</v>
          </cell>
        </row>
        <row r="58">
          <cell r="O58">
            <v>45899.75</v>
          </cell>
          <cell r="P58">
            <v>0</v>
          </cell>
        </row>
        <row r="59">
          <cell r="O59">
            <v>45899.75</v>
          </cell>
          <cell r="P59">
            <v>0</v>
          </cell>
        </row>
        <row r="60">
          <cell r="O60">
            <v>45899.75</v>
          </cell>
          <cell r="P60">
            <v>0</v>
          </cell>
        </row>
        <row r="61">
          <cell r="O61">
            <v>45899.75</v>
          </cell>
          <cell r="P61">
            <v>0</v>
          </cell>
        </row>
        <row r="62">
          <cell r="O62">
            <v>45899.75</v>
          </cell>
          <cell r="P62">
            <v>0</v>
          </cell>
        </row>
        <row r="63">
          <cell r="O63">
            <v>45899.75</v>
          </cell>
          <cell r="P63">
            <v>0</v>
          </cell>
        </row>
        <row r="64">
          <cell r="O64">
            <v>48947.75</v>
          </cell>
          <cell r="P64">
            <v>0</v>
          </cell>
        </row>
        <row r="65">
          <cell r="O65">
            <v>48947.75</v>
          </cell>
          <cell r="P65">
            <v>0</v>
          </cell>
        </row>
        <row r="66">
          <cell r="O66">
            <v>48947.75</v>
          </cell>
          <cell r="P66">
            <v>0</v>
          </cell>
        </row>
        <row r="67">
          <cell r="O67">
            <v>95759.69</v>
          </cell>
          <cell r="P67">
            <v>0</v>
          </cell>
        </row>
        <row r="68">
          <cell r="O68">
            <v>95759.69</v>
          </cell>
          <cell r="P68">
            <v>0</v>
          </cell>
        </row>
        <row r="69">
          <cell r="O69">
            <v>95886.38</v>
          </cell>
          <cell r="P69">
            <v>0</v>
          </cell>
        </row>
        <row r="70">
          <cell r="O70">
            <v>95886.38</v>
          </cell>
          <cell r="P70">
            <v>0</v>
          </cell>
        </row>
        <row r="71">
          <cell r="O71">
            <v>98625</v>
          </cell>
          <cell r="P71">
            <v>0</v>
          </cell>
        </row>
        <row r="72">
          <cell r="O72">
            <v>98625</v>
          </cell>
          <cell r="P72">
            <v>0</v>
          </cell>
        </row>
        <row r="73">
          <cell r="O73">
            <v>98625</v>
          </cell>
          <cell r="P73">
            <v>0</v>
          </cell>
        </row>
        <row r="74">
          <cell r="O74">
            <v>98625</v>
          </cell>
          <cell r="P74">
            <v>0</v>
          </cell>
        </row>
        <row r="75">
          <cell r="O75">
            <v>6382.66</v>
          </cell>
          <cell r="P75">
            <v>0</v>
          </cell>
        </row>
      </sheetData>
      <sheetData sheetId="8">
        <row r="11">
          <cell r="O11">
            <v>0</v>
          </cell>
          <cell r="P11">
            <v>0</v>
          </cell>
        </row>
        <row r="12">
          <cell r="O12">
            <v>0</v>
          </cell>
          <cell r="P12">
            <v>0</v>
          </cell>
        </row>
        <row r="13">
          <cell r="O13">
            <v>306.5</v>
          </cell>
          <cell r="P13"/>
        </row>
        <row r="14">
          <cell r="O14">
            <v>0</v>
          </cell>
          <cell r="P14">
            <v>0</v>
          </cell>
        </row>
        <row r="15">
          <cell r="O15">
            <v>0</v>
          </cell>
          <cell r="P15">
            <v>0</v>
          </cell>
        </row>
        <row r="16">
          <cell r="O16">
            <v>0</v>
          </cell>
          <cell r="P16">
            <v>0</v>
          </cell>
        </row>
        <row r="17">
          <cell r="O17">
            <v>0</v>
          </cell>
          <cell r="P17">
            <v>0</v>
          </cell>
        </row>
        <row r="18">
          <cell r="O18">
            <v>0</v>
          </cell>
          <cell r="P18">
            <v>0</v>
          </cell>
        </row>
        <row r="19">
          <cell r="O19">
            <v>1086</v>
          </cell>
          <cell r="P19">
            <v>1086</v>
          </cell>
        </row>
        <row r="20">
          <cell r="O20">
            <v>0</v>
          </cell>
          <cell r="P20">
            <v>0</v>
          </cell>
        </row>
        <row r="21">
          <cell r="O21">
            <v>453.97</v>
          </cell>
          <cell r="P21">
            <v>378.79</v>
          </cell>
        </row>
        <row r="22">
          <cell r="O22">
            <v>387.81</v>
          </cell>
          <cell r="P22">
            <v>387.81</v>
          </cell>
        </row>
        <row r="23">
          <cell r="O23">
            <v>2179</v>
          </cell>
          <cell r="P23">
            <v>2179</v>
          </cell>
        </row>
        <row r="24">
          <cell r="O24">
            <v>566.12</v>
          </cell>
          <cell r="P24">
            <v>566.12</v>
          </cell>
        </row>
        <row r="25">
          <cell r="O25">
            <v>396</v>
          </cell>
          <cell r="P25">
            <v>396</v>
          </cell>
        </row>
        <row r="26">
          <cell r="O26">
            <v>1900</v>
          </cell>
          <cell r="P26">
            <v>1900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omments" Target="../comments9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0.xml"/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comments" Target="../comments11.xml"/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comments" Target="../comments12.xml"/><Relationship Id="rId2" Type="http://schemas.openxmlformats.org/officeDocument/2006/relationships/vmlDrawing" Target="../drawings/vmlDrawing12.v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comments" Target="../comments13.xml"/><Relationship Id="rId2" Type="http://schemas.openxmlformats.org/officeDocument/2006/relationships/vmlDrawing" Target="../drawings/vmlDrawing13.v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>
    <pageSetUpPr fitToPage="1"/>
  </sheetPr>
  <dimension ref="A1:O50"/>
  <sheetViews>
    <sheetView tabSelected="1" zoomScaleNormal="100" workbookViewId="0">
      <selection activeCell="C8" sqref="C8"/>
    </sheetView>
  </sheetViews>
  <sheetFormatPr defaultColWidth="9.140625" defaultRowHeight="15" x14ac:dyDescent="0.25"/>
  <cols>
    <col min="1" max="1" width="6.7109375" style="2" customWidth="1"/>
    <col min="2" max="2" width="31.140625" style="111" customWidth="1"/>
    <col min="3" max="3" width="32.85546875" style="111" bestFit="1" customWidth="1"/>
    <col min="4" max="4" width="18" style="111" customWidth="1"/>
    <col min="5" max="5" width="18.85546875" style="111" customWidth="1"/>
    <col min="6" max="6" width="17.28515625" style="111" bestFit="1" customWidth="1"/>
    <col min="7" max="7" width="14.5703125" style="111" customWidth="1"/>
    <col min="8" max="8" width="18.140625" style="111" customWidth="1"/>
    <col min="9" max="9" width="15.140625" style="111" bestFit="1" customWidth="1"/>
    <col min="10" max="10" width="14.42578125" style="111" bestFit="1" customWidth="1"/>
    <col min="11" max="11" width="16.140625" style="111" customWidth="1"/>
    <col min="12" max="12" width="14" style="111" customWidth="1"/>
    <col min="13" max="13" width="23.5703125" style="111" customWidth="1"/>
    <col min="14" max="14" width="9.140625" style="2"/>
    <col min="15" max="15" width="10.85546875" style="2" customWidth="1"/>
    <col min="16" max="16" width="10.140625" style="2" customWidth="1"/>
    <col min="17" max="17" width="9.140625" style="2"/>
    <col min="18" max="18" width="12.5703125" style="2" customWidth="1"/>
    <col min="19" max="16384" width="9.140625" style="2"/>
  </cols>
  <sheetData>
    <row r="1" spans="1:15" x14ac:dyDescent="0.25">
      <c r="A1" s="140" t="s">
        <v>387</v>
      </c>
      <c r="B1" s="141"/>
    </row>
    <row r="2" spans="1:15" x14ac:dyDescent="0.25">
      <c r="A2" s="140" t="s">
        <v>231</v>
      </c>
      <c r="B2" s="141"/>
    </row>
    <row r="3" spans="1:15" x14ac:dyDescent="0.25">
      <c r="A3" s="140" t="s">
        <v>232</v>
      </c>
      <c r="B3" s="141"/>
      <c r="C3" s="31"/>
      <c r="D3" s="31"/>
      <c r="F3" s="32"/>
    </row>
    <row r="4" spans="1:15" x14ac:dyDescent="0.25">
      <c r="A4" s="140"/>
      <c r="B4" s="141"/>
      <c r="C4" s="31"/>
      <c r="D4" s="31"/>
      <c r="E4" s="179"/>
      <c r="F4" s="32"/>
      <c r="G4" s="179"/>
      <c r="H4" s="179"/>
      <c r="I4" s="179"/>
      <c r="J4" s="179"/>
      <c r="K4" s="179"/>
      <c r="L4" s="179"/>
      <c r="M4" s="179"/>
    </row>
    <row r="5" spans="1:15" x14ac:dyDescent="0.25">
      <c r="A5" s="140"/>
      <c r="B5" s="141"/>
      <c r="C5" s="31"/>
      <c r="D5" s="31"/>
      <c r="E5" s="179"/>
      <c r="F5" s="32"/>
      <c r="G5" s="179"/>
      <c r="H5" s="179"/>
      <c r="I5" s="179"/>
      <c r="J5" s="179"/>
      <c r="K5" s="179"/>
      <c r="L5" s="179"/>
      <c r="M5" s="179"/>
    </row>
    <row r="6" spans="1:15" x14ac:dyDescent="0.25">
      <c r="A6" s="140"/>
      <c r="B6" s="141"/>
      <c r="C6" s="31"/>
      <c r="D6" s="31"/>
      <c r="E6" s="179"/>
      <c r="F6" s="32"/>
      <c r="G6" s="179"/>
      <c r="H6" s="179"/>
      <c r="I6" s="179"/>
      <c r="J6" s="179"/>
      <c r="K6" s="179"/>
      <c r="L6" s="179"/>
      <c r="M6" s="179"/>
    </row>
    <row r="7" spans="1:15" x14ac:dyDescent="0.25">
      <c r="A7" s="140"/>
      <c r="B7" s="141"/>
      <c r="C7" s="31"/>
      <c r="D7" s="31"/>
      <c r="E7" s="179"/>
      <c r="F7" s="32"/>
      <c r="G7" s="179"/>
      <c r="H7" s="179"/>
      <c r="I7" s="179"/>
      <c r="J7" s="179"/>
      <c r="K7" s="179"/>
      <c r="L7" s="179"/>
      <c r="M7" s="179"/>
    </row>
    <row r="8" spans="1:15" x14ac:dyDescent="0.25">
      <c r="A8" s="140"/>
      <c r="B8" s="141"/>
      <c r="C8" s="31"/>
      <c r="D8" s="31"/>
      <c r="E8" s="179"/>
      <c r="F8" s="32"/>
      <c r="G8" s="179"/>
      <c r="H8" s="179"/>
      <c r="I8" s="179"/>
      <c r="J8" s="179"/>
      <c r="K8" s="179"/>
      <c r="L8" s="179"/>
      <c r="M8" s="179"/>
    </row>
    <row r="9" spans="1:15" ht="15.75" thickBot="1" x14ac:dyDescent="0.3">
      <c r="A9" s="140"/>
      <c r="B9" s="141"/>
      <c r="C9" s="31"/>
      <c r="D9" s="31"/>
      <c r="E9" s="179"/>
      <c r="F9" s="32"/>
      <c r="G9" s="179"/>
      <c r="H9" s="179"/>
      <c r="I9" s="179"/>
      <c r="J9" s="179"/>
      <c r="K9" s="179"/>
      <c r="L9" s="179"/>
      <c r="M9" s="179"/>
    </row>
    <row r="10" spans="1:15" ht="16.5" thickTop="1" thickBot="1" x14ac:dyDescent="0.3">
      <c r="A10" s="274" t="s">
        <v>891</v>
      </c>
      <c r="B10" s="274"/>
      <c r="C10" s="274"/>
      <c r="D10" s="274"/>
      <c r="E10" s="274"/>
      <c r="F10" s="274"/>
      <c r="G10" s="274"/>
      <c r="H10" s="274"/>
      <c r="I10" s="274"/>
      <c r="J10" s="274"/>
      <c r="K10" s="274"/>
      <c r="L10" s="274"/>
      <c r="M10" s="274"/>
    </row>
    <row r="11" spans="1:15" ht="16.5" thickTop="1" thickBot="1" x14ac:dyDescent="0.3">
      <c r="A11" s="275" t="s">
        <v>282</v>
      </c>
      <c r="B11" s="276" t="s">
        <v>463</v>
      </c>
      <c r="C11" s="277" t="s">
        <v>394</v>
      </c>
      <c r="D11" s="273" t="s">
        <v>486</v>
      </c>
      <c r="E11" s="273"/>
      <c r="F11" s="273"/>
      <c r="G11" s="273"/>
      <c r="H11" s="273"/>
      <c r="I11" s="279"/>
      <c r="J11" s="272" t="s">
        <v>495</v>
      </c>
      <c r="K11" s="273"/>
      <c r="L11" s="273"/>
      <c r="M11" s="273"/>
    </row>
    <row r="12" spans="1:15" ht="46.5" thickTop="1" thickBot="1" x14ac:dyDescent="0.3">
      <c r="A12" s="275"/>
      <c r="B12" s="276"/>
      <c r="C12" s="278"/>
      <c r="D12" s="189" t="s">
        <v>480</v>
      </c>
      <c r="E12" s="190" t="s">
        <v>885</v>
      </c>
      <c r="F12" s="190" t="s">
        <v>886</v>
      </c>
      <c r="G12" s="189" t="s">
        <v>887</v>
      </c>
      <c r="H12" s="190" t="s">
        <v>487</v>
      </c>
      <c r="I12" s="190" t="s">
        <v>488</v>
      </c>
      <c r="J12" s="194" t="s">
        <v>489</v>
      </c>
      <c r="K12" s="189" t="s">
        <v>490</v>
      </c>
      <c r="L12" s="189" t="s">
        <v>887</v>
      </c>
      <c r="M12" s="189" t="s">
        <v>488</v>
      </c>
      <c r="N12" s="15"/>
      <c r="O12" s="15"/>
    </row>
    <row r="13" spans="1:15" ht="16.5" thickTop="1" thickBot="1" x14ac:dyDescent="0.3">
      <c r="A13" s="198">
        <v>0</v>
      </c>
      <c r="B13" s="197" t="s">
        <v>284</v>
      </c>
      <c r="C13" s="204">
        <v>2</v>
      </c>
      <c r="D13" s="192" t="s">
        <v>285</v>
      </c>
      <c r="E13" s="192" t="s">
        <v>491</v>
      </c>
      <c r="F13" s="145">
        <v>5</v>
      </c>
      <c r="G13" s="192" t="s">
        <v>492</v>
      </c>
      <c r="H13" s="192" t="s">
        <v>286</v>
      </c>
      <c r="I13" s="145" t="s">
        <v>494</v>
      </c>
      <c r="J13" s="195" t="s">
        <v>287</v>
      </c>
      <c r="K13" s="192" t="s">
        <v>493</v>
      </c>
      <c r="L13" s="145" t="s">
        <v>496</v>
      </c>
      <c r="M13" s="192" t="s">
        <v>497</v>
      </c>
      <c r="N13" s="15"/>
      <c r="O13" s="15"/>
    </row>
    <row r="14" spans="1:15" ht="15.75" thickTop="1" x14ac:dyDescent="0.25">
      <c r="A14" s="200">
        <v>1</v>
      </c>
      <c r="B14" s="201" t="s">
        <v>333</v>
      </c>
      <c r="C14" s="205" t="s">
        <v>481</v>
      </c>
      <c r="D14" s="193">
        <v>0</v>
      </c>
      <c r="E14" s="193">
        <v>0</v>
      </c>
      <c r="F14" s="193">
        <v>0</v>
      </c>
      <c r="G14" s="188">
        <f>+D14+E14-F14</f>
        <v>0</v>
      </c>
      <c r="H14" s="193">
        <f>+'CEDAR 012=5 019=3'!U19</f>
        <v>0</v>
      </c>
      <c r="I14" s="193">
        <f>+G14-H14</f>
        <v>0</v>
      </c>
      <c r="J14" s="202">
        <v>5619.4</v>
      </c>
      <c r="K14" s="193">
        <v>5619.4</v>
      </c>
      <c r="L14" s="188">
        <f>+J14-K14</f>
        <v>0</v>
      </c>
      <c r="M14" s="193">
        <f>+G14-L14</f>
        <v>0</v>
      </c>
      <c r="N14" s="15"/>
      <c r="O14" s="15"/>
    </row>
    <row r="15" spans="1:15" x14ac:dyDescent="0.25">
      <c r="A15" s="200">
        <v>2</v>
      </c>
      <c r="B15" s="201" t="s">
        <v>482</v>
      </c>
      <c r="C15" s="205" t="s">
        <v>483</v>
      </c>
      <c r="D15" s="193">
        <v>11252228.530000001</v>
      </c>
      <c r="E15" s="193">
        <v>0</v>
      </c>
      <c r="F15" s="193">
        <v>0</v>
      </c>
      <c r="G15" s="188">
        <f t="shared" ref="G15:G26" si="0">+D15+E15-F15</f>
        <v>11252228.530000001</v>
      </c>
      <c r="H15" s="193">
        <f>+'CEDAR 020= 1,2..5  '!U17</f>
        <v>11252228.530000001</v>
      </c>
      <c r="I15" s="193">
        <f>+G15-H15</f>
        <v>0</v>
      </c>
      <c r="J15" s="202">
        <v>11252228.529999999</v>
      </c>
      <c r="K15" s="193">
        <v>0</v>
      </c>
      <c r="L15" s="188">
        <f t="shared" ref="L15:L26" si="1">+J15-K15</f>
        <v>11252228.529999999</v>
      </c>
      <c r="M15" s="193">
        <f t="shared" ref="M15:M25" si="2">+G15-L15</f>
        <v>0</v>
      </c>
      <c r="N15" s="15"/>
      <c r="O15" s="15"/>
    </row>
    <row r="16" spans="1:15" x14ac:dyDescent="0.25">
      <c r="A16" s="200">
        <v>3</v>
      </c>
      <c r="B16" s="201" t="s">
        <v>484</v>
      </c>
      <c r="C16" s="205" t="s">
        <v>485</v>
      </c>
      <c r="D16" s="193">
        <v>74050813.701191932</v>
      </c>
      <c r="E16" s="193">
        <f>+'CEDAR 023=DO 023 '!H10</f>
        <v>329694.87</v>
      </c>
      <c r="F16" s="193">
        <f>+'CEDAR 023=DO 023 '!U30</f>
        <v>1877083.6764174001</v>
      </c>
      <c r="G16" s="188">
        <f>+D16+E16-F16</f>
        <v>72503424.894774541</v>
      </c>
      <c r="H16" s="193">
        <f>+'CEDAR 023=DO 023 '!W30</f>
        <v>72503424.894774541</v>
      </c>
      <c r="I16" s="193">
        <f t="shared" ref="I16:I26" si="3">+G16-H16</f>
        <v>0</v>
      </c>
      <c r="J16" s="202">
        <v>80723294.950000003</v>
      </c>
      <c r="K16" s="193">
        <v>8219870.0599999996</v>
      </c>
      <c r="L16" s="188">
        <f t="shared" si="1"/>
        <v>72503424.890000001</v>
      </c>
      <c r="M16" s="193">
        <f t="shared" si="2"/>
        <v>4.7745406627655029E-3</v>
      </c>
      <c r="N16" s="15"/>
      <c r="O16" s="15"/>
    </row>
    <row r="17" spans="1:15" x14ac:dyDescent="0.25">
      <c r="A17" s="200">
        <v>4</v>
      </c>
      <c r="B17" s="201" t="s">
        <v>498</v>
      </c>
      <c r="C17" s="206" t="s">
        <v>499</v>
      </c>
      <c r="D17" s="193">
        <v>177722617.89340568</v>
      </c>
      <c r="E17" s="193">
        <v>0</v>
      </c>
      <c r="F17" s="193">
        <f>+'CEDAR 030 '!U62+'CEDAR 030,111'!T77+'CEDAR 030,111 - prebačeno'!T29</f>
        <v>6789797.7523920015</v>
      </c>
      <c r="G17" s="188">
        <f>+D17+E17-F17</f>
        <v>170932820.14101368</v>
      </c>
      <c r="H17" s="193">
        <f>+'CEDAR 030 '!W62+'CEDAR 030,111'!V77+12139.42+0.06+3378.26</f>
        <v>170932820.13772815</v>
      </c>
      <c r="I17" s="193">
        <f>+G17-H17</f>
        <v>3.285527229309082E-3</v>
      </c>
      <c r="J17" s="202">
        <f>223326092.44+8149.94</f>
        <v>223334242.38</v>
      </c>
      <c r="K17" s="193">
        <f>50930718.9+1470703.34</f>
        <v>52401422.240000002</v>
      </c>
      <c r="L17" s="188">
        <f t="shared" si="1"/>
        <v>170932820.13999999</v>
      </c>
      <c r="M17" s="193">
        <f>+G17-L17</f>
        <v>1.0136961936950684E-3</v>
      </c>
      <c r="N17" s="15"/>
      <c r="O17" s="15"/>
    </row>
    <row r="18" spans="1:15" x14ac:dyDescent="0.25">
      <c r="A18" s="200">
        <v>5</v>
      </c>
      <c r="B18" s="201" t="s">
        <v>339</v>
      </c>
      <c r="C18" s="205" t="s">
        <v>500</v>
      </c>
      <c r="D18" s="193">
        <v>1152103.5168099999</v>
      </c>
      <c r="E18" s="193">
        <v>0</v>
      </c>
      <c r="F18" s="193">
        <f>+'CEDAR  031,2 '!T53</f>
        <v>60495.905500000001</v>
      </c>
      <c r="G18" s="188">
        <f t="shared" si="0"/>
        <v>1091607.6113099998</v>
      </c>
      <c r="H18" s="193">
        <f>+'CEDAR  031,2 '!V53-0.02+3971.05</f>
        <v>1091607.6158100001</v>
      </c>
      <c r="I18" s="193">
        <f t="shared" si="3"/>
        <v>-4.5000002719461918E-3</v>
      </c>
      <c r="J18" s="202">
        <f>1607174.99-4432</f>
        <v>1602742.99</v>
      </c>
      <c r="K18" s="193">
        <v>511135.38</v>
      </c>
      <c r="L18" s="188">
        <f t="shared" si="1"/>
        <v>1091607.6099999999</v>
      </c>
      <c r="M18" s="193">
        <f t="shared" si="2"/>
        <v>1.3099999632686377E-3</v>
      </c>
      <c r="N18" s="15"/>
      <c r="O18" s="15"/>
    </row>
    <row r="19" spans="1:15" x14ac:dyDescent="0.25">
      <c r="A19" s="200">
        <v>6</v>
      </c>
      <c r="B19" s="201" t="s">
        <v>11</v>
      </c>
      <c r="C19" s="205" t="s">
        <v>508</v>
      </c>
      <c r="D19" s="193">
        <v>4001559.0503303343</v>
      </c>
      <c r="E19" s="193">
        <v>0</v>
      </c>
      <c r="F19" s="193">
        <f>+'CEDAR 032,07'!T36</f>
        <v>1007705.9185863333</v>
      </c>
      <c r="G19" s="188">
        <f t="shared" si="0"/>
        <v>2993853.1317440011</v>
      </c>
      <c r="H19" s="193">
        <f>+'CEDAR 032,07'!V36</f>
        <v>2993853.1317439992</v>
      </c>
      <c r="I19" s="193">
        <f t="shared" si="3"/>
        <v>0</v>
      </c>
      <c r="J19" s="202">
        <v>12036525.720000001</v>
      </c>
      <c r="K19" s="193">
        <v>9042672.5899999999</v>
      </c>
      <c r="L19" s="188">
        <f t="shared" si="1"/>
        <v>2993853.1300000008</v>
      </c>
      <c r="M19" s="193">
        <f t="shared" si="2"/>
        <v>1.7440002411603928E-3</v>
      </c>
      <c r="N19" s="15"/>
      <c r="O19" s="15"/>
    </row>
    <row r="20" spans="1:15" x14ac:dyDescent="0.25">
      <c r="A20" s="200">
        <v>7</v>
      </c>
      <c r="B20" s="201" t="s">
        <v>27</v>
      </c>
      <c r="C20" s="205" t="s">
        <v>501</v>
      </c>
      <c r="D20" s="193">
        <v>10796321.456891</v>
      </c>
      <c r="E20" s="193">
        <v>0</v>
      </c>
      <c r="F20" s="193">
        <f>+'CEDAR 032,01'!U77</f>
        <v>3560052.4924839996</v>
      </c>
      <c r="G20" s="188">
        <f>+D20+E20-F20</f>
        <v>7236268.9644070007</v>
      </c>
      <c r="H20" s="193">
        <f>+'CEDAR 032,01'!W77</f>
        <v>7236268.9644069979</v>
      </c>
      <c r="I20" s="193">
        <f t="shared" si="3"/>
        <v>0</v>
      </c>
      <c r="J20" s="202">
        <v>34959643.159999996</v>
      </c>
      <c r="K20" s="193">
        <v>27723374.190000001</v>
      </c>
      <c r="L20" s="188">
        <f t="shared" si="1"/>
        <v>7236268.9699999951</v>
      </c>
      <c r="M20" s="193">
        <f>+G20-L20</f>
        <v>-5.5929943919181824E-3</v>
      </c>
      <c r="N20" s="15"/>
      <c r="O20" s="15"/>
    </row>
    <row r="21" spans="1:15" x14ac:dyDescent="0.25">
      <c r="A21" s="200">
        <v>8</v>
      </c>
      <c r="B21" s="201" t="s">
        <v>93</v>
      </c>
      <c r="C21" s="205" t="s">
        <v>502</v>
      </c>
      <c r="D21" s="193">
        <v>140359.89884533331</v>
      </c>
      <c r="E21" s="193">
        <v>0</v>
      </c>
      <c r="F21" s="193">
        <f>+'CEDAR 032'!T20</f>
        <v>24458.079915999999</v>
      </c>
      <c r="G21" s="188">
        <f t="shared" si="0"/>
        <v>115901.81892933331</v>
      </c>
      <c r="H21" s="193">
        <f>+'CEDAR 032'!V20-384.56</f>
        <v>115901.82350133335</v>
      </c>
      <c r="I21" s="193">
        <f t="shared" si="3"/>
        <v>-4.5720000343862921E-3</v>
      </c>
      <c r="J21" s="202">
        <v>1344568.63</v>
      </c>
      <c r="K21" s="193">
        <v>1228666.81</v>
      </c>
      <c r="L21" s="188">
        <f t="shared" si="1"/>
        <v>115901.81999999983</v>
      </c>
      <c r="M21" s="193">
        <f t="shared" si="2"/>
        <v>-1.070666519808583E-3</v>
      </c>
      <c r="N21" s="15"/>
      <c r="O21" s="15"/>
    </row>
    <row r="22" spans="1:15" x14ac:dyDescent="0.25">
      <c r="A22" s="200">
        <v>9</v>
      </c>
      <c r="B22" s="201" t="s">
        <v>503</v>
      </c>
      <c r="C22" s="205" t="s">
        <v>504</v>
      </c>
      <c r="D22" s="193">
        <v>7325604.2100000083</v>
      </c>
      <c r="E22" s="193">
        <f>+'CEDAR 034'!T50+'CEDAR 034'!T51+'CEDAR 034'!T52+'CEDAR 034'!T53+'CEDAR 034'!T54+'CEDAR 034'!T55</f>
        <v>4956852.1500000013</v>
      </c>
      <c r="F22" s="193">
        <v>0</v>
      </c>
      <c r="G22" s="188">
        <f t="shared" si="0"/>
        <v>12282456.360000011</v>
      </c>
      <c r="H22" s="193">
        <f>+'CEDAR 034'!T56</f>
        <v>12282456.360000003</v>
      </c>
      <c r="I22" s="193">
        <f t="shared" si="3"/>
        <v>0</v>
      </c>
      <c r="J22" s="202">
        <f>6216243.46+6066212.9</f>
        <v>12282456.359999999</v>
      </c>
      <c r="K22" s="193">
        <v>0</v>
      </c>
      <c r="L22" s="188">
        <f t="shared" si="1"/>
        <v>12282456.359999999</v>
      </c>
      <c r="M22" s="193">
        <f t="shared" si="2"/>
        <v>0</v>
      </c>
      <c r="N22" s="15"/>
      <c r="O22" s="15"/>
    </row>
    <row r="23" spans="1:15" x14ac:dyDescent="0.25">
      <c r="A23" s="200">
        <v>10</v>
      </c>
      <c r="B23" s="201" t="s">
        <v>449</v>
      </c>
      <c r="C23" s="205" t="s">
        <v>505</v>
      </c>
      <c r="D23" s="193">
        <v>90756.18</v>
      </c>
      <c r="E23" s="193">
        <v>0</v>
      </c>
      <c r="F23" s="193">
        <v>0</v>
      </c>
      <c r="G23" s="188">
        <f t="shared" si="0"/>
        <v>90756.18</v>
      </c>
      <c r="H23" s="193">
        <f>+'CEDAR 040'!U20</f>
        <v>90756.18</v>
      </c>
      <c r="I23" s="193">
        <f t="shared" si="3"/>
        <v>0</v>
      </c>
      <c r="J23" s="202">
        <v>90756.18</v>
      </c>
      <c r="K23" s="193">
        <v>0</v>
      </c>
      <c r="L23" s="188">
        <f t="shared" si="1"/>
        <v>90756.18</v>
      </c>
      <c r="M23" s="193">
        <f t="shared" si="2"/>
        <v>0</v>
      </c>
      <c r="N23" s="15"/>
      <c r="O23" s="15"/>
    </row>
    <row r="24" spans="1:15" ht="30" x14ac:dyDescent="0.25">
      <c r="A24" s="200">
        <v>11</v>
      </c>
      <c r="B24" s="201" t="s">
        <v>506</v>
      </c>
      <c r="C24" s="206" t="s">
        <v>888</v>
      </c>
      <c r="D24" s="193">
        <v>545501.19139516668</v>
      </c>
      <c r="E24" s="193">
        <f>+'CEDAR  050'!H39+'CEDAR  050'!H40</f>
        <v>27546</v>
      </c>
      <c r="F24" s="193">
        <f>+'CEDAR  050'!T41</f>
        <v>86372.996834000005</v>
      </c>
      <c r="G24" s="188">
        <f t="shared" si="0"/>
        <v>486674.19456116669</v>
      </c>
      <c r="H24" s="193">
        <f>+'CEDAR  050'!V41</f>
        <v>486674.19456116669</v>
      </c>
      <c r="I24" s="193">
        <f t="shared" si="3"/>
        <v>0</v>
      </c>
      <c r="J24" s="202">
        <f>826245.87+4432</f>
        <v>830677.87</v>
      </c>
      <c r="K24" s="193">
        <v>344003.68</v>
      </c>
      <c r="L24" s="188">
        <f t="shared" si="1"/>
        <v>486674.19</v>
      </c>
      <c r="M24" s="193">
        <f t="shared" si="2"/>
        <v>4.5611666864715517E-3</v>
      </c>
      <c r="N24" s="15"/>
      <c r="O24" s="15"/>
    </row>
    <row r="25" spans="1:15" ht="15.75" thickBot="1" x14ac:dyDescent="0.3">
      <c r="A25" s="200">
        <v>12</v>
      </c>
      <c r="B25" s="203" t="s">
        <v>216</v>
      </c>
      <c r="C25" s="207" t="s">
        <v>507</v>
      </c>
      <c r="D25" s="193">
        <v>1742239.980676</v>
      </c>
      <c r="E25" s="193">
        <v>0</v>
      </c>
      <c r="F25" s="193">
        <f>+'CEDAR 053=0 - 059=0,2 '!T31</f>
        <v>92536.271823999996</v>
      </c>
      <c r="G25" s="188">
        <f t="shared" si="0"/>
        <v>1649703.7088520001</v>
      </c>
      <c r="H25" s="193">
        <f>+'CEDAR 053=0 - 059=0,2 '!V31</f>
        <v>1649703.7088520001</v>
      </c>
      <c r="I25" s="193">
        <f t="shared" si="3"/>
        <v>0</v>
      </c>
      <c r="J25" s="202">
        <v>1932430.21</v>
      </c>
      <c r="K25" s="193">
        <v>282726.5</v>
      </c>
      <c r="L25" s="188">
        <f t="shared" si="1"/>
        <v>1649703.71</v>
      </c>
      <c r="M25" s="193">
        <f t="shared" si="2"/>
        <v>-1.14799989387393E-3</v>
      </c>
      <c r="N25" s="15"/>
      <c r="O25" s="15"/>
    </row>
    <row r="26" spans="1:15" ht="16.5" thickTop="1" thickBot="1" x14ac:dyDescent="0.3">
      <c r="A26" s="199">
        <v>13</v>
      </c>
      <c r="B26" s="270" t="s">
        <v>513</v>
      </c>
      <c r="C26" s="271"/>
      <c r="D26" s="191">
        <f>SUM(D14:D25)</f>
        <v>288820105.60954547</v>
      </c>
      <c r="E26" s="191">
        <f>SUM(E14:E25)</f>
        <v>5314093.0200000014</v>
      </c>
      <c r="F26" s="191">
        <f>SUM(F14:F25)</f>
        <v>13498503.093953736</v>
      </c>
      <c r="G26" s="191">
        <f t="shared" si="0"/>
        <v>280635695.53559172</v>
      </c>
      <c r="H26" s="191">
        <f>SUM(H14:H25)</f>
        <v>280635695.5413782</v>
      </c>
      <c r="I26" s="191">
        <f t="shared" si="3"/>
        <v>-5.7864785194396973E-3</v>
      </c>
      <c r="J26" s="196">
        <f>SUM(J14:J25)</f>
        <v>380395186.38</v>
      </c>
      <c r="K26" s="191">
        <f>SUM(K14:K25)</f>
        <v>99759490.850000009</v>
      </c>
      <c r="L26" s="191">
        <f t="shared" si="1"/>
        <v>280635695.52999997</v>
      </c>
      <c r="M26" s="191">
        <f>SUM(M14:M25)</f>
        <v>5.5917429417604581E-3</v>
      </c>
      <c r="N26" s="15"/>
      <c r="O26" s="15"/>
    </row>
    <row r="27" spans="1:15" ht="16.5" thickTop="1" thickBot="1" x14ac:dyDescent="0.3">
      <c r="A27" s="280"/>
      <c r="B27" s="280"/>
      <c r="C27" s="280"/>
      <c r="D27" s="280"/>
      <c r="E27" s="280"/>
      <c r="F27" s="280"/>
      <c r="G27" s="280"/>
      <c r="H27" s="280"/>
      <c r="I27" s="280"/>
      <c r="J27" s="280"/>
      <c r="K27" s="280"/>
      <c r="L27" s="280"/>
      <c r="M27" s="280"/>
      <c r="N27" s="15"/>
      <c r="O27" s="15"/>
    </row>
    <row r="28" spans="1:15" ht="15.75" thickTop="1" x14ac:dyDescent="0.25">
      <c r="A28" s="208">
        <v>14</v>
      </c>
      <c r="B28" s="216" t="s">
        <v>889</v>
      </c>
      <c r="C28" s="210" t="s">
        <v>890</v>
      </c>
      <c r="D28" s="202">
        <v>841250</v>
      </c>
      <c r="E28" s="211">
        <v>0</v>
      </c>
      <c r="F28" s="211">
        <v>0</v>
      </c>
      <c r="G28" s="211">
        <f>+D28+E28-F28</f>
        <v>841250</v>
      </c>
      <c r="H28" s="211"/>
      <c r="I28" s="212"/>
      <c r="J28" s="193">
        <v>841250</v>
      </c>
      <c r="K28" s="193">
        <v>0</v>
      </c>
      <c r="L28" s="193">
        <f>+J28-K28</f>
        <v>841250</v>
      </c>
      <c r="M28" s="193">
        <f>+G28-L28</f>
        <v>0</v>
      </c>
      <c r="N28" s="15"/>
      <c r="O28" s="15"/>
    </row>
    <row r="29" spans="1:15" x14ac:dyDescent="0.25">
      <c r="A29" s="208">
        <v>15</v>
      </c>
      <c r="B29" s="216" t="s">
        <v>222</v>
      </c>
      <c r="C29" s="193" t="s">
        <v>520</v>
      </c>
      <c r="D29" s="202">
        <v>60000</v>
      </c>
      <c r="E29" s="211">
        <v>0</v>
      </c>
      <c r="F29" s="211">
        <v>0</v>
      </c>
      <c r="G29" s="211">
        <f>+D29+E29-F29</f>
        <v>60000</v>
      </c>
      <c r="H29" s="211"/>
      <c r="I29" s="212"/>
      <c r="J29" s="193">
        <f>+D29</f>
        <v>60000</v>
      </c>
      <c r="K29" s="193">
        <f>+E29</f>
        <v>0</v>
      </c>
      <c r="L29" s="193">
        <f>+J29-K29</f>
        <v>60000</v>
      </c>
      <c r="M29" s="193">
        <f t="shared" ref="M29:M34" si="4">+G29-L29</f>
        <v>0</v>
      </c>
      <c r="N29" s="15"/>
      <c r="O29" s="15"/>
    </row>
    <row r="30" spans="1:15" x14ac:dyDescent="0.25">
      <c r="A30" s="208">
        <v>16</v>
      </c>
      <c r="B30" s="216" t="s">
        <v>509</v>
      </c>
      <c r="C30" s="193" t="s">
        <v>515</v>
      </c>
      <c r="D30" s="202">
        <v>49585000</v>
      </c>
      <c r="E30" s="211">
        <v>30513152.109999999</v>
      </c>
      <c r="F30" s="211">
        <v>0</v>
      </c>
      <c r="G30" s="211">
        <f t="shared" ref="G30:G34" si="5">+D30+E30-F30</f>
        <v>80098152.109999999</v>
      </c>
      <c r="H30" s="211"/>
      <c r="I30" s="212"/>
      <c r="J30" s="193">
        <v>80098152.109999999</v>
      </c>
      <c r="K30" s="193">
        <v>0</v>
      </c>
      <c r="L30" s="193">
        <f>+J30-K30</f>
        <v>80098152.109999999</v>
      </c>
      <c r="M30" s="193">
        <f t="shared" si="4"/>
        <v>0</v>
      </c>
      <c r="N30" s="15"/>
      <c r="O30" s="15"/>
    </row>
    <row r="31" spans="1:15" ht="30" x14ac:dyDescent="0.25">
      <c r="A31" s="208">
        <v>17</v>
      </c>
      <c r="B31" s="216" t="s">
        <v>510</v>
      </c>
      <c r="C31" s="210" t="s">
        <v>516</v>
      </c>
      <c r="D31" s="202">
        <v>0</v>
      </c>
      <c r="E31" s="211">
        <v>0</v>
      </c>
      <c r="F31" s="211">
        <v>0</v>
      </c>
      <c r="G31" s="211">
        <f t="shared" si="5"/>
        <v>0</v>
      </c>
      <c r="H31" s="211"/>
      <c r="I31" s="212"/>
      <c r="J31" s="193">
        <v>0</v>
      </c>
      <c r="K31" s="193">
        <v>0</v>
      </c>
      <c r="L31" s="193">
        <f t="shared" ref="L31:L34" si="6">+J31-K31</f>
        <v>0</v>
      </c>
      <c r="M31" s="193">
        <f t="shared" si="4"/>
        <v>0</v>
      </c>
      <c r="N31" s="15"/>
      <c r="O31" s="15"/>
    </row>
    <row r="32" spans="1:15" x14ac:dyDescent="0.25">
      <c r="A32" s="208">
        <v>18</v>
      </c>
      <c r="B32" s="216" t="s">
        <v>397</v>
      </c>
      <c r="C32" s="193" t="s">
        <v>517</v>
      </c>
      <c r="D32" s="202">
        <v>0</v>
      </c>
      <c r="E32" s="211">
        <v>0</v>
      </c>
      <c r="F32" s="211">
        <v>0</v>
      </c>
      <c r="G32" s="211">
        <f t="shared" si="5"/>
        <v>0</v>
      </c>
      <c r="H32" s="211"/>
      <c r="I32" s="212"/>
      <c r="J32" s="193">
        <v>0</v>
      </c>
      <c r="K32" s="193">
        <f t="shared" ref="K32:K34" si="7">+E32</f>
        <v>0</v>
      </c>
      <c r="L32" s="193">
        <f t="shared" si="6"/>
        <v>0</v>
      </c>
      <c r="M32" s="193">
        <f t="shared" si="4"/>
        <v>0</v>
      </c>
      <c r="N32" s="15"/>
      <c r="O32" s="15"/>
    </row>
    <row r="33" spans="1:15" ht="45" x14ac:dyDescent="0.25">
      <c r="A33" s="208">
        <v>19</v>
      </c>
      <c r="B33" s="216" t="s">
        <v>511</v>
      </c>
      <c r="C33" s="210" t="s">
        <v>518</v>
      </c>
      <c r="D33" s="202">
        <v>10966831.300000001</v>
      </c>
      <c r="E33" s="211">
        <v>0</v>
      </c>
      <c r="F33" s="211">
        <v>0</v>
      </c>
      <c r="G33" s="211">
        <f t="shared" si="5"/>
        <v>10966831.300000001</v>
      </c>
      <c r="H33" s="211"/>
      <c r="I33" s="212"/>
      <c r="J33" s="193">
        <f t="shared" ref="J33:J34" si="8">+D33</f>
        <v>10966831.300000001</v>
      </c>
      <c r="K33" s="193">
        <f t="shared" si="7"/>
        <v>0</v>
      </c>
      <c r="L33" s="193">
        <f t="shared" si="6"/>
        <v>10966831.300000001</v>
      </c>
      <c r="M33" s="193">
        <f t="shared" si="4"/>
        <v>0</v>
      </c>
      <c r="N33" s="15"/>
      <c r="O33" s="15"/>
    </row>
    <row r="34" spans="1:15" ht="15.75" thickBot="1" x14ac:dyDescent="0.3">
      <c r="A34" s="208">
        <v>20</v>
      </c>
      <c r="B34" s="217" t="s">
        <v>512</v>
      </c>
      <c r="C34" s="193" t="s">
        <v>519</v>
      </c>
      <c r="D34" s="213">
        <v>81251735.209999993</v>
      </c>
      <c r="E34" s="214">
        <v>0</v>
      </c>
      <c r="F34" s="214">
        <v>0</v>
      </c>
      <c r="G34" s="211">
        <f t="shared" si="5"/>
        <v>81251735.209999993</v>
      </c>
      <c r="H34" s="214"/>
      <c r="I34" s="215"/>
      <c r="J34" s="193">
        <f t="shared" si="8"/>
        <v>81251735.209999993</v>
      </c>
      <c r="K34" s="193">
        <f t="shared" si="7"/>
        <v>0</v>
      </c>
      <c r="L34" s="193">
        <f t="shared" si="6"/>
        <v>81251735.209999993</v>
      </c>
      <c r="M34" s="193">
        <f t="shared" si="4"/>
        <v>0</v>
      </c>
      <c r="N34" s="15"/>
      <c r="O34" s="15"/>
    </row>
    <row r="35" spans="1:15" ht="16.5" thickTop="1" thickBot="1" x14ac:dyDescent="0.3">
      <c r="A35" s="199">
        <v>21</v>
      </c>
      <c r="B35" s="270" t="s">
        <v>513</v>
      </c>
      <c r="C35" s="271"/>
      <c r="D35" s="191">
        <f>SUM(D28:D34)</f>
        <v>142704816.50999999</v>
      </c>
      <c r="E35" s="191">
        <f t="shared" ref="E35:I35" si="9">SUM(E29:E34)</f>
        <v>30513152.109999999</v>
      </c>
      <c r="F35" s="191">
        <f>SUM(F28:F34)</f>
        <v>0</v>
      </c>
      <c r="G35" s="191">
        <f>SUM(G28:G34)</f>
        <v>173217968.62</v>
      </c>
      <c r="H35" s="191">
        <f t="shared" si="9"/>
        <v>0</v>
      </c>
      <c r="I35" s="191">
        <f t="shared" si="9"/>
        <v>0</v>
      </c>
      <c r="J35" s="196">
        <f>SUM(J28:J34)</f>
        <v>173217968.62</v>
      </c>
      <c r="K35" s="191">
        <f>SUM(K28:K34)</f>
        <v>0</v>
      </c>
      <c r="L35" s="191">
        <f>SUM(L28:L34)</f>
        <v>173217968.62</v>
      </c>
      <c r="M35" s="191">
        <f t="shared" ref="M35" si="10">SUM(M29:M34)</f>
        <v>0</v>
      </c>
      <c r="N35" s="15"/>
      <c r="O35" s="15"/>
    </row>
    <row r="36" spans="1:15" ht="16.5" thickTop="1" thickBot="1" x14ac:dyDescent="0.3">
      <c r="A36" s="208"/>
      <c r="B36" s="209"/>
      <c r="C36" s="193"/>
      <c r="D36" s="193"/>
      <c r="E36" s="193"/>
      <c r="F36" s="193"/>
      <c r="G36" s="193"/>
      <c r="H36" s="209"/>
      <c r="I36" s="193"/>
      <c r="J36" s="209"/>
      <c r="K36" s="209"/>
      <c r="L36" s="209"/>
      <c r="M36" s="209"/>
    </row>
    <row r="37" spans="1:15" ht="16.5" thickTop="1" thickBot="1" x14ac:dyDescent="0.3">
      <c r="A37" s="199">
        <v>21</v>
      </c>
      <c r="B37" s="270" t="s">
        <v>514</v>
      </c>
      <c r="C37" s="271"/>
      <c r="D37" s="191">
        <f>+D26+D35</f>
        <v>431524922.11954546</v>
      </c>
      <c r="E37" s="191">
        <f t="shared" ref="E37:I37" si="11">+E26+E35</f>
        <v>35827245.130000003</v>
      </c>
      <c r="F37" s="191">
        <f t="shared" si="11"/>
        <v>13498503.093953736</v>
      </c>
      <c r="G37" s="191">
        <f>+G26+G35</f>
        <v>453853664.15559173</v>
      </c>
      <c r="H37" s="191">
        <f>+H26+H35</f>
        <v>280635695.5413782</v>
      </c>
      <c r="I37" s="191">
        <f t="shared" si="11"/>
        <v>-5.7864785194396973E-3</v>
      </c>
      <c r="J37" s="196">
        <f>+J26+J35</f>
        <v>553613155</v>
      </c>
      <c r="K37" s="191">
        <f t="shared" ref="K37:M37" si="12">+K26+K35</f>
        <v>99759490.850000009</v>
      </c>
      <c r="L37" s="191">
        <f t="shared" si="12"/>
        <v>453853664.14999998</v>
      </c>
      <c r="M37" s="191">
        <f t="shared" si="12"/>
        <v>5.5917429417604581E-3</v>
      </c>
    </row>
    <row r="38" spans="1:15" ht="15.75" thickTop="1" x14ac:dyDescent="0.25">
      <c r="A38" s="144"/>
      <c r="B38" s="31"/>
      <c r="C38" s="32"/>
      <c r="D38" s="32"/>
      <c r="E38" s="32"/>
      <c r="F38" s="32"/>
      <c r="G38" s="32"/>
      <c r="H38" s="31"/>
      <c r="I38" s="32"/>
      <c r="J38" s="31"/>
      <c r="K38" s="31"/>
      <c r="L38" s="218"/>
      <c r="M38" s="31"/>
    </row>
    <row r="39" spans="1:15" x14ac:dyDescent="0.25">
      <c r="A39" s="144"/>
      <c r="B39" s="31"/>
      <c r="C39" s="32"/>
      <c r="D39" s="32"/>
      <c r="E39" s="32"/>
      <c r="F39" s="32"/>
      <c r="G39" s="32"/>
      <c r="H39" s="31"/>
      <c r="I39" s="32"/>
      <c r="J39" s="31"/>
      <c r="K39" s="31"/>
      <c r="L39" s="31"/>
      <c r="M39" s="31"/>
    </row>
    <row r="40" spans="1:15" x14ac:dyDescent="0.25">
      <c r="A40" s="144"/>
      <c r="B40" s="31"/>
      <c r="C40" s="32"/>
      <c r="D40" s="32"/>
      <c r="E40" s="32"/>
      <c r="F40" s="32"/>
      <c r="G40" s="32"/>
      <c r="H40" s="31"/>
      <c r="I40" s="32"/>
      <c r="J40" s="31"/>
      <c r="K40" s="269"/>
      <c r="L40" s="31"/>
      <c r="M40" s="31"/>
    </row>
    <row r="41" spans="1:15" x14ac:dyDescent="0.25">
      <c r="A41" s="144"/>
      <c r="B41" s="31"/>
      <c r="C41" s="32"/>
      <c r="D41" s="32"/>
      <c r="E41" s="32"/>
      <c r="F41" s="32"/>
      <c r="G41" s="32"/>
      <c r="H41" s="31"/>
      <c r="I41" s="32"/>
      <c r="J41" s="31"/>
      <c r="K41" s="31"/>
      <c r="L41" s="31"/>
      <c r="M41" s="31"/>
    </row>
    <row r="42" spans="1:15" x14ac:dyDescent="0.25">
      <c r="A42" s="144"/>
      <c r="B42" s="31"/>
      <c r="C42" s="32"/>
      <c r="D42" s="32"/>
      <c r="E42" s="32"/>
      <c r="F42" s="32"/>
      <c r="G42" s="32"/>
      <c r="I42" s="32"/>
    </row>
    <row r="43" spans="1:15" x14ac:dyDescent="0.25">
      <c r="A43" s="144"/>
      <c r="B43" s="31"/>
      <c r="C43" s="32"/>
      <c r="D43" s="32"/>
      <c r="E43" s="32"/>
      <c r="F43" s="32"/>
      <c r="G43" s="32"/>
      <c r="I43" s="32"/>
    </row>
    <row r="44" spans="1:15" x14ac:dyDescent="0.25">
      <c r="A44" s="144"/>
      <c r="B44" s="31"/>
      <c r="C44" s="32"/>
      <c r="D44" s="32"/>
      <c r="E44" s="32"/>
      <c r="F44" s="32"/>
      <c r="G44" s="32"/>
      <c r="I44" s="32"/>
    </row>
    <row r="45" spans="1:15" x14ac:dyDescent="0.25">
      <c r="A45" s="144"/>
      <c r="B45" s="31"/>
      <c r="C45" s="32"/>
      <c r="D45" s="32"/>
      <c r="E45" s="32"/>
      <c r="F45" s="32"/>
      <c r="G45" s="32"/>
      <c r="I45" s="32"/>
    </row>
    <row r="46" spans="1:15" x14ac:dyDescent="0.25">
      <c r="A46" s="144"/>
      <c r="B46" s="31"/>
      <c r="C46" s="32"/>
      <c r="D46" s="32"/>
      <c r="E46" s="32"/>
      <c r="F46" s="32"/>
      <c r="G46" s="32"/>
      <c r="I46" s="32"/>
    </row>
    <row r="47" spans="1:15" x14ac:dyDescent="0.25">
      <c r="A47" s="144"/>
      <c r="B47" s="31"/>
      <c r="C47" s="32"/>
      <c r="D47" s="32"/>
      <c r="E47" s="32"/>
      <c r="F47" s="32"/>
      <c r="G47" s="32"/>
      <c r="I47" s="32"/>
    </row>
    <row r="48" spans="1:15" x14ac:dyDescent="0.25">
      <c r="A48" s="144"/>
      <c r="B48" s="31"/>
      <c r="C48" s="179"/>
      <c r="D48" s="31"/>
      <c r="E48" s="31"/>
      <c r="F48" s="31"/>
      <c r="G48" s="32"/>
      <c r="I48" s="32"/>
    </row>
    <row r="49" spans="1:9" x14ac:dyDescent="0.25">
      <c r="A49" s="144"/>
      <c r="B49" s="31"/>
      <c r="C49" s="179"/>
      <c r="D49" s="31"/>
      <c r="E49" s="31"/>
      <c r="F49" s="31"/>
      <c r="G49" s="32"/>
      <c r="I49" s="32"/>
    </row>
    <row r="50" spans="1:9" x14ac:dyDescent="0.25">
      <c r="A50" s="144"/>
      <c r="B50" s="31"/>
      <c r="C50" s="179"/>
      <c r="D50" s="31"/>
      <c r="E50" s="31"/>
      <c r="F50" s="31"/>
      <c r="G50" s="32"/>
      <c r="I50" s="32"/>
    </row>
  </sheetData>
  <mergeCells count="10">
    <mergeCell ref="B35:C35"/>
    <mergeCell ref="B37:C37"/>
    <mergeCell ref="J11:M11"/>
    <mergeCell ref="B26:C26"/>
    <mergeCell ref="A10:M10"/>
    <mergeCell ref="A11:A12"/>
    <mergeCell ref="B11:B12"/>
    <mergeCell ref="C11:C12"/>
    <mergeCell ref="D11:I11"/>
    <mergeCell ref="A27:M27"/>
  </mergeCells>
  <phoneticPr fontId="16" type="noConversion"/>
  <pageMargins left="0.25" right="0.25" top="0.75" bottom="0.75" header="0.3" footer="0.3"/>
  <pageSetup paperSize="9" scale="59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7E3888-37DD-4A81-A889-49A124FD199C}">
  <dimension ref="A2:F26"/>
  <sheetViews>
    <sheetView workbookViewId="0">
      <selection activeCell="C25" sqref="C25"/>
    </sheetView>
  </sheetViews>
  <sheetFormatPr defaultRowHeight="15" x14ac:dyDescent="0.25"/>
  <cols>
    <col min="2" max="3" width="13.42578125" bestFit="1" customWidth="1"/>
    <col min="5" max="5" width="23.7109375" bestFit="1" customWidth="1"/>
    <col min="6" max="6" width="11.7109375" bestFit="1" customWidth="1"/>
  </cols>
  <sheetData>
    <row r="2" spans="1:6" x14ac:dyDescent="0.25">
      <c r="A2" s="141" t="s">
        <v>463</v>
      </c>
      <c r="B2" s="141" t="s">
        <v>464</v>
      </c>
      <c r="C2" s="141" t="s">
        <v>465</v>
      </c>
    </row>
    <row r="3" spans="1:6" x14ac:dyDescent="0.25">
      <c r="A3" s="65" t="s">
        <v>453</v>
      </c>
      <c r="B3" s="15"/>
      <c r="C3" s="15">
        <f>+'CEDAR Dugotrajna imovina'!F16</f>
        <v>1877083.6764174001</v>
      </c>
    </row>
    <row r="4" spans="1:6" x14ac:dyDescent="0.25">
      <c r="A4" s="65" t="s">
        <v>466</v>
      </c>
      <c r="B4" s="15">
        <f>+'CEDAR Dugotrajna imovina'!F16</f>
        <v>1877083.6764174001</v>
      </c>
      <c r="C4" s="15"/>
      <c r="E4" t="s">
        <v>892</v>
      </c>
      <c r="F4" s="15">
        <v>177776.4</v>
      </c>
    </row>
    <row r="5" spans="1:6" x14ac:dyDescent="0.25">
      <c r="A5" s="65"/>
      <c r="B5" s="15"/>
      <c r="C5" s="15"/>
      <c r="E5" t="s">
        <v>893</v>
      </c>
      <c r="F5" s="15">
        <v>1699307.28</v>
      </c>
    </row>
    <row r="6" spans="1:6" x14ac:dyDescent="0.25">
      <c r="A6" s="65" t="s">
        <v>458</v>
      </c>
      <c r="B6" s="15"/>
      <c r="C6" s="15">
        <f>+'CEDAR Dugotrajna imovina'!F17</f>
        <v>6789797.7523920015</v>
      </c>
      <c r="E6" s="35"/>
    </row>
    <row r="7" spans="1:6" x14ac:dyDescent="0.25">
      <c r="A7" s="65" t="s">
        <v>467</v>
      </c>
      <c r="B7" s="15">
        <f>C6</f>
        <v>6789797.7523920015</v>
      </c>
      <c r="C7" s="15"/>
    </row>
    <row r="8" spans="1:6" x14ac:dyDescent="0.25">
      <c r="A8" s="65"/>
      <c r="B8" s="15"/>
      <c r="C8" s="15"/>
    </row>
    <row r="9" spans="1:6" x14ac:dyDescent="0.25">
      <c r="A9" s="65" t="s">
        <v>462</v>
      </c>
      <c r="B9" s="15"/>
      <c r="C9" s="15">
        <f>+'CEDAR Dugotrajna imovina'!F18</f>
        <v>60495.905500000001</v>
      </c>
    </row>
    <row r="10" spans="1:6" x14ac:dyDescent="0.25">
      <c r="A10" s="65" t="s">
        <v>468</v>
      </c>
      <c r="B10" s="15">
        <f>+C9</f>
        <v>60495.905500000001</v>
      </c>
      <c r="C10" s="15"/>
    </row>
    <row r="11" spans="1:6" x14ac:dyDescent="0.25">
      <c r="A11" s="65"/>
      <c r="B11" s="15"/>
      <c r="C11" s="15"/>
    </row>
    <row r="12" spans="1:6" x14ac:dyDescent="0.25">
      <c r="A12" s="65" t="s">
        <v>469</v>
      </c>
      <c r="B12" s="15"/>
      <c r="C12" s="15">
        <f>+'CEDAR Dugotrajna imovina'!F21</f>
        <v>24458.079915999999</v>
      </c>
    </row>
    <row r="13" spans="1:6" x14ac:dyDescent="0.25">
      <c r="A13" s="65" t="s">
        <v>470</v>
      </c>
      <c r="B13" s="15">
        <f>+C12</f>
        <v>24458.079915999999</v>
      </c>
      <c r="C13" s="15"/>
    </row>
    <row r="14" spans="1:6" x14ac:dyDescent="0.25">
      <c r="A14" s="65"/>
      <c r="B14" s="15"/>
      <c r="C14" s="15"/>
    </row>
    <row r="15" spans="1:6" x14ac:dyDescent="0.25">
      <c r="A15" s="65" t="s">
        <v>471</v>
      </c>
      <c r="B15" s="15"/>
      <c r="C15" s="15">
        <f>+'CEDAR Dugotrajna imovina'!F20</f>
        <v>3560052.4924839996</v>
      </c>
    </row>
    <row r="16" spans="1:6" x14ac:dyDescent="0.25">
      <c r="A16" s="65" t="s">
        <v>472</v>
      </c>
      <c r="B16" s="15">
        <f>+C15</f>
        <v>3560052.4924839996</v>
      </c>
      <c r="C16" s="15"/>
    </row>
    <row r="17" spans="1:3" x14ac:dyDescent="0.25">
      <c r="A17" s="65"/>
      <c r="B17" s="15"/>
      <c r="C17" s="15"/>
    </row>
    <row r="18" spans="1:3" x14ac:dyDescent="0.25">
      <c r="A18" s="65" t="s">
        <v>473</v>
      </c>
      <c r="B18" s="15"/>
      <c r="C18" s="15">
        <f>+'CEDAR Dugotrajna imovina'!F19</f>
        <v>1007705.9185863333</v>
      </c>
    </row>
    <row r="19" spans="1:3" x14ac:dyDescent="0.25">
      <c r="A19" s="65" t="s">
        <v>474</v>
      </c>
      <c r="B19" s="15">
        <f>+C18</f>
        <v>1007705.9185863333</v>
      </c>
      <c r="C19" s="15"/>
    </row>
    <row r="20" spans="1:3" x14ac:dyDescent="0.25">
      <c r="A20" s="65"/>
      <c r="B20" s="15"/>
      <c r="C20" s="15"/>
    </row>
    <row r="21" spans="1:3" x14ac:dyDescent="0.25">
      <c r="A21" s="65" t="s">
        <v>475</v>
      </c>
      <c r="B21" s="15"/>
      <c r="C21" s="15">
        <f>+'CEDAR Dugotrajna imovina'!F24</f>
        <v>86372.996834000005</v>
      </c>
    </row>
    <row r="22" spans="1:3" x14ac:dyDescent="0.25">
      <c r="A22" s="65" t="s">
        <v>476</v>
      </c>
      <c r="B22" s="15">
        <f>+C21</f>
        <v>86372.996834000005</v>
      </c>
      <c r="C22" s="15"/>
    </row>
    <row r="23" spans="1:3" x14ac:dyDescent="0.25">
      <c r="A23" s="65"/>
      <c r="B23" s="15"/>
      <c r="C23" s="15"/>
    </row>
    <row r="24" spans="1:3" x14ac:dyDescent="0.25">
      <c r="A24" s="65" t="s">
        <v>477</v>
      </c>
      <c r="B24" s="15"/>
      <c r="C24" s="15">
        <f>+'CEDAR Dugotrajna imovina'!F25</f>
        <v>92536.271823999996</v>
      </c>
    </row>
    <row r="25" spans="1:3" x14ac:dyDescent="0.25">
      <c r="A25" s="65" t="s">
        <v>478</v>
      </c>
      <c r="B25" s="15">
        <f>+C24</f>
        <v>92536.271823999996</v>
      </c>
      <c r="C25" s="15"/>
    </row>
    <row r="26" spans="1:3" x14ac:dyDescent="0.25">
      <c r="A26" s="187" t="s">
        <v>479</v>
      </c>
      <c r="B26" s="143">
        <f>SUM(B3:B25)</f>
        <v>13498503.093953736</v>
      </c>
      <c r="C26" s="143">
        <f>SUM(C3:C25)</f>
        <v>13498503.093953736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tabColor rgb="FF00B0F0"/>
    <pageSetUpPr fitToPage="1"/>
  </sheetPr>
  <dimension ref="A2:AD31"/>
  <sheetViews>
    <sheetView topLeftCell="A4" zoomScaleNormal="100" workbookViewId="0">
      <selection activeCell="E18" sqref="E18"/>
    </sheetView>
  </sheetViews>
  <sheetFormatPr defaultRowHeight="15" x14ac:dyDescent="0.25"/>
  <cols>
    <col min="1" max="1" width="3.28515625" customWidth="1"/>
    <col min="2" max="2" width="4.42578125" customWidth="1"/>
    <col min="3" max="3" width="8.5703125" customWidth="1"/>
    <col min="4" max="4" width="15" bestFit="1" customWidth="1"/>
    <col min="5" max="5" width="23" customWidth="1"/>
    <col min="7" max="7" width="12.5703125" customWidth="1"/>
    <col min="9" max="9" width="12.7109375" customWidth="1"/>
    <col min="11" max="11" width="10" customWidth="1"/>
    <col min="12" max="12" width="14.85546875" customWidth="1"/>
    <col min="13" max="13" width="8.85546875" customWidth="1"/>
    <col min="14" max="14" width="7.5703125" customWidth="1"/>
    <col min="15" max="15" width="7.85546875" customWidth="1"/>
    <col min="16" max="16" width="12.7109375" customWidth="1"/>
    <col min="17" max="17" width="13.7109375" bestFit="1" customWidth="1"/>
    <col min="18" max="18" width="13.7109375" customWidth="1"/>
    <col min="19" max="19" width="15.7109375" customWidth="1"/>
    <col min="20" max="20" width="14.28515625" customWidth="1"/>
    <col min="21" max="21" width="14.42578125" customWidth="1"/>
    <col min="22" max="22" width="11.85546875" hidden="1" customWidth="1"/>
    <col min="23" max="23" width="0" hidden="1" customWidth="1"/>
    <col min="24" max="24" width="13.85546875" bestFit="1" customWidth="1"/>
  </cols>
  <sheetData>
    <row r="2" spans="1:30" x14ac:dyDescent="0.25">
      <c r="B2" s="50" t="s">
        <v>234</v>
      </c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X2" s="35"/>
    </row>
    <row r="3" spans="1:30" x14ac:dyDescent="0.25">
      <c r="G3" s="41"/>
      <c r="H3" s="41"/>
      <c r="I3" s="41"/>
      <c r="J3" s="41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</row>
    <row r="4" spans="1:30" x14ac:dyDescent="0.25">
      <c r="A4" s="113" t="s">
        <v>359</v>
      </c>
    </row>
    <row r="5" spans="1:30" x14ac:dyDescent="0.25">
      <c r="B5" s="1"/>
      <c r="C5" s="1"/>
      <c r="D5" s="1"/>
      <c r="E5" s="36"/>
      <c r="F5" s="37"/>
      <c r="G5" s="38"/>
      <c r="H5" s="37"/>
      <c r="I5" s="38"/>
      <c r="J5" s="37"/>
      <c r="K5" s="38"/>
      <c r="L5" s="38"/>
      <c r="M5" s="37"/>
      <c r="N5" s="37"/>
      <c r="O5" s="37"/>
      <c r="P5" s="38"/>
      <c r="Q5" s="38"/>
      <c r="R5" s="38"/>
      <c r="S5" s="38"/>
      <c r="T5" s="38"/>
      <c r="U5" s="38"/>
      <c r="X5" s="35"/>
    </row>
    <row r="6" spans="1:30" x14ac:dyDescent="0.25">
      <c r="B6" s="1"/>
      <c r="C6" s="1"/>
      <c r="D6" s="1"/>
      <c r="E6" s="39"/>
      <c r="F6" s="40"/>
      <c r="G6" s="41"/>
      <c r="H6" s="40"/>
      <c r="I6" s="41"/>
      <c r="J6" s="40"/>
      <c r="K6" s="42"/>
      <c r="L6" s="41"/>
      <c r="M6" s="40"/>
      <c r="N6" s="40"/>
      <c r="O6" s="40"/>
      <c r="P6" s="41"/>
      <c r="Q6" s="41"/>
      <c r="R6" s="41"/>
      <c r="S6" s="41"/>
      <c r="T6" s="41"/>
      <c r="U6" s="41"/>
    </row>
    <row r="7" spans="1:30" x14ac:dyDescent="0.25">
      <c r="B7" s="1"/>
      <c r="C7" s="1"/>
      <c r="D7" s="1"/>
      <c r="E7" s="39"/>
      <c r="F7" s="40"/>
      <c r="G7" s="41"/>
      <c r="H7" s="40"/>
      <c r="I7" s="41"/>
      <c r="J7" s="40"/>
      <c r="K7" s="41"/>
      <c r="L7" s="41"/>
      <c r="M7" s="40"/>
      <c r="N7" s="40"/>
      <c r="O7" s="40"/>
      <c r="P7" s="41"/>
      <c r="Q7" s="41"/>
      <c r="R7" s="41"/>
      <c r="S7" s="41"/>
      <c r="T7" s="41"/>
      <c r="U7" s="41"/>
    </row>
    <row r="8" spans="1:30" x14ac:dyDescent="0.25">
      <c r="B8" s="1"/>
      <c r="C8" s="1"/>
      <c r="D8" s="1"/>
      <c r="E8" s="1"/>
    </row>
    <row r="9" spans="1:30" ht="15.75" x14ac:dyDescent="0.25">
      <c r="B9" s="281" t="s">
        <v>409</v>
      </c>
      <c r="C9" s="281"/>
      <c r="D9" s="281"/>
      <c r="E9" s="281"/>
      <c r="F9" s="281"/>
      <c r="G9" s="281"/>
      <c r="H9" s="281"/>
      <c r="I9" s="281"/>
      <c r="J9" s="281"/>
      <c r="K9" s="281"/>
      <c r="L9" s="281"/>
      <c r="M9" s="281"/>
      <c r="N9" s="281"/>
      <c r="O9" s="281"/>
      <c r="P9" s="281"/>
      <c r="Q9" s="281"/>
      <c r="R9" s="281"/>
      <c r="S9" s="281"/>
      <c r="T9" s="281"/>
      <c r="U9" s="281"/>
    </row>
    <row r="10" spans="1:30" ht="15.75" x14ac:dyDescent="0.25">
      <c r="B10" s="282" t="s">
        <v>289</v>
      </c>
      <c r="C10" s="282"/>
      <c r="D10" s="282"/>
      <c r="E10" s="282"/>
      <c r="F10" s="282"/>
      <c r="G10" s="282"/>
      <c r="H10" s="282"/>
      <c r="I10" s="282"/>
      <c r="J10" s="282"/>
      <c r="K10" s="282"/>
      <c r="L10" s="282"/>
      <c r="M10" s="282"/>
      <c r="N10" s="282"/>
      <c r="O10" s="282"/>
      <c r="P10" s="282"/>
      <c r="Q10" s="282"/>
      <c r="R10" s="282"/>
      <c r="S10" s="282"/>
      <c r="T10" s="282"/>
      <c r="U10" s="282"/>
    </row>
    <row r="11" spans="1:30" ht="15.75" thickBot="1" x14ac:dyDescent="0.3"/>
    <row r="12" spans="1:30" s="3" customFormat="1" ht="16.5" customHeight="1" thickTop="1" thickBot="1" x14ac:dyDescent="0.3">
      <c r="A12" s="70"/>
      <c r="B12" s="283" t="s">
        <v>0</v>
      </c>
      <c r="C12" s="283" t="s">
        <v>332</v>
      </c>
      <c r="D12" s="283" t="s">
        <v>524</v>
      </c>
      <c r="E12" s="283" t="s">
        <v>1</v>
      </c>
      <c r="F12" s="283" t="s">
        <v>7</v>
      </c>
      <c r="G12" s="283" t="s">
        <v>406</v>
      </c>
      <c r="H12" s="284" t="s">
        <v>523</v>
      </c>
      <c r="I12" s="284"/>
      <c r="J12" s="283" t="s">
        <v>18</v>
      </c>
      <c r="K12" s="283" t="s">
        <v>19</v>
      </c>
      <c r="L12" s="284" t="s">
        <v>295</v>
      </c>
      <c r="M12" s="283" t="s">
        <v>4</v>
      </c>
      <c r="N12" s="283" t="s">
        <v>5</v>
      </c>
      <c r="O12" s="283"/>
      <c r="P12" s="283" t="s">
        <v>8</v>
      </c>
      <c r="Q12" s="283"/>
      <c r="R12" s="283"/>
      <c r="S12" s="283"/>
      <c r="T12" s="283"/>
      <c r="U12" s="285" t="s">
        <v>251</v>
      </c>
      <c r="V12" s="285" t="s">
        <v>252</v>
      </c>
      <c r="W12" s="285" t="s">
        <v>253</v>
      </c>
      <c r="X12" s="70"/>
      <c r="Y12" s="70"/>
      <c r="Z12" s="70"/>
      <c r="AA12" s="70"/>
      <c r="AB12" s="70"/>
      <c r="AC12" s="70"/>
      <c r="AD12" s="70"/>
    </row>
    <row r="13" spans="1:30" s="3" customFormat="1" ht="34.9" customHeight="1" thickTop="1" thickBot="1" x14ac:dyDescent="0.3">
      <c r="A13" s="70"/>
      <c r="B13" s="283"/>
      <c r="C13" s="283"/>
      <c r="D13" s="283"/>
      <c r="E13" s="283"/>
      <c r="F13" s="283"/>
      <c r="G13" s="283"/>
      <c r="H13" s="284"/>
      <c r="I13" s="284"/>
      <c r="J13" s="283"/>
      <c r="K13" s="283"/>
      <c r="L13" s="284"/>
      <c r="M13" s="283"/>
      <c r="N13" s="283"/>
      <c r="O13" s="283"/>
      <c r="P13" s="283" t="s">
        <v>6</v>
      </c>
      <c r="Q13" s="291" t="s">
        <v>254</v>
      </c>
      <c r="R13" s="285" t="s">
        <v>257</v>
      </c>
      <c r="S13" s="285" t="s">
        <v>258</v>
      </c>
      <c r="T13" s="284" t="s">
        <v>265</v>
      </c>
      <c r="U13" s="286"/>
      <c r="V13" s="286"/>
      <c r="W13" s="286"/>
      <c r="X13" s="70"/>
      <c r="Y13" s="70"/>
      <c r="Z13" s="70"/>
      <c r="AA13" s="70"/>
      <c r="AB13" s="70"/>
      <c r="AC13" s="70"/>
      <c r="AD13" s="70"/>
    </row>
    <row r="14" spans="1:30" s="3" customFormat="1" ht="25.5" thickTop="1" thickBot="1" x14ac:dyDescent="0.3">
      <c r="A14" s="70"/>
      <c r="B14" s="283"/>
      <c r="C14" s="283"/>
      <c r="D14" s="283"/>
      <c r="E14" s="283"/>
      <c r="F14" s="283"/>
      <c r="G14" s="283"/>
      <c r="H14" s="115" t="s">
        <v>2</v>
      </c>
      <c r="I14" s="115" t="s">
        <v>3</v>
      </c>
      <c r="J14" s="283"/>
      <c r="K14" s="283"/>
      <c r="L14" s="284"/>
      <c r="M14" s="283"/>
      <c r="N14" s="115" t="s">
        <v>256</v>
      </c>
      <c r="O14" s="115" t="s">
        <v>255</v>
      </c>
      <c r="P14" s="283"/>
      <c r="Q14" s="292"/>
      <c r="R14" s="287"/>
      <c r="S14" s="287"/>
      <c r="T14" s="284"/>
      <c r="U14" s="287"/>
      <c r="V14" s="287"/>
      <c r="W14" s="287"/>
      <c r="X14" s="70"/>
      <c r="Y14" s="70"/>
      <c r="Z14" s="70"/>
      <c r="AA14" s="70"/>
      <c r="AB14" s="70"/>
      <c r="AC14" s="70"/>
      <c r="AD14" s="70"/>
    </row>
    <row r="15" spans="1:30" ht="16.5" thickTop="1" thickBot="1" x14ac:dyDescent="0.3">
      <c r="A15" s="40"/>
      <c r="B15" s="74">
        <v>1</v>
      </c>
      <c r="C15" s="74">
        <v>2</v>
      </c>
      <c r="D15" s="74">
        <v>3</v>
      </c>
      <c r="E15" s="74">
        <v>4</v>
      </c>
      <c r="F15" s="74">
        <v>5</v>
      </c>
      <c r="G15" s="74">
        <v>6</v>
      </c>
      <c r="H15" s="74">
        <v>7</v>
      </c>
      <c r="I15" s="74">
        <v>8</v>
      </c>
      <c r="J15" s="74">
        <v>9</v>
      </c>
      <c r="K15" s="74">
        <v>10</v>
      </c>
      <c r="L15" s="74">
        <v>11</v>
      </c>
      <c r="M15" s="74">
        <v>12</v>
      </c>
      <c r="N15" s="74">
        <v>13</v>
      </c>
      <c r="O15" s="74">
        <v>14</v>
      </c>
      <c r="P15" s="74">
        <v>15</v>
      </c>
      <c r="Q15" s="74">
        <v>16</v>
      </c>
      <c r="R15" s="74">
        <v>17</v>
      </c>
      <c r="S15" s="74">
        <v>18</v>
      </c>
      <c r="T15" s="74">
        <v>19</v>
      </c>
      <c r="U15" s="74">
        <v>20</v>
      </c>
      <c r="V15" s="74">
        <v>21</v>
      </c>
      <c r="W15" s="74">
        <v>22</v>
      </c>
      <c r="X15" s="40"/>
      <c r="Y15" s="40"/>
      <c r="Z15" s="40"/>
      <c r="AA15" s="40"/>
      <c r="AB15" s="40"/>
      <c r="AC15" s="40"/>
      <c r="AD15" s="40"/>
    </row>
    <row r="16" spans="1:30" ht="15.75" thickTop="1" x14ac:dyDescent="0.25">
      <c r="B16" s="253">
        <v>1</v>
      </c>
      <c r="C16" s="43" t="s">
        <v>333</v>
      </c>
      <c r="D16" s="43" t="s">
        <v>284</v>
      </c>
      <c r="E16" s="24" t="s">
        <v>294</v>
      </c>
      <c r="F16" s="44">
        <v>1</v>
      </c>
      <c r="G16" s="45">
        <v>3774.4</v>
      </c>
      <c r="H16" s="46"/>
      <c r="I16" s="46"/>
      <c r="J16" s="46"/>
      <c r="K16" s="46"/>
      <c r="L16" s="45">
        <v>3774.4</v>
      </c>
      <c r="M16" s="46">
        <v>0</v>
      </c>
      <c r="N16" s="47"/>
      <c r="O16" s="47"/>
      <c r="P16" s="45">
        <f>L16</f>
        <v>3774.4</v>
      </c>
      <c r="Q16" s="48"/>
      <c r="R16" s="48"/>
      <c r="S16" s="48"/>
      <c r="T16" s="49">
        <f>P16</f>
        <v>3774.4</v>
      </c>
      <c r="U16" s="67">
        <v>0</v>
      </c>
      <c r="V16" s="94"/>
      <c r="W16" s="96">
        <f>U16</f>
        <v>0</v>
      </c>
    </row>
    <row r="17" spans="2:23" x14ac:dyDescent="0.25">
      <c r="B17" s="254">
        <v>2</v>
      </c>
      <c r="C17" s="43" t="s">
        <v>333</v>
      </c>
      <c r="D17" s="43" t="s">
        <v>525</v>
      </c>
      <c r="E17" s="5" t="s">
        <v>233</v>
      </c>
      <c r="F17" s="44">
        <v>1</v>
      </c>
      <c r="G17" s="45">
        <v>1845</v>
      </c>
      <c r="H17" s="46"/>
      <c r="I17" s="46"/>
      <c r="J17" s="46"/>
      <c r="K17" s="46"/>
      <c r="L17" s="45">
        <v>1845</v>
      </c>
      <c r="M17" s="46">
        <v>12</v>
      </c>
      <c r="N17" s="47">
        <v>0.25</v>
      </c>
      <c r="O17" s="47">
        <v>0.25</v>
      </c>
      <c r="P17" s="45">
        <v>1845</v>
      </c>
      <c r="Q17" s="48">
        <v>0</v>
      </c>
      <c r="R17" s="48"/>
      <c r="S17" s="48">
        <v>0</v>
      </c>
      <c r="T17" s="49">
        <f>P17</f>
        <v>1845</v>
      </c>
      <c r="U17" s="67">
        <v>0</v>
      </c>
      <c r="V17" s="94"/>
      <c r="W17" s="90">
        <f>U17</f>
        <v>0</v>
      </c>
    </row>
    <row r="18" spans="2:23" ht="15.75" thickBot="1" x14ac:dyDescent="0.3">
      <c r="B18" s="114"/>
      <c r="C18" s="46"/>
      <c r="D18" s="46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93"/>
      <c r="V18" s="95"/>
      <c r="W18" s="89"/>
    </row>
    <row r="19" spans="2:23" ht="16.5" thickTop="1" thickBot="1" x14ac:dyDescent="0.3">
      <c r="B19" s="298" t="s">
        <v>12</v>
      </c>
      <c r="C19" s="298"/>
      <c r="D19" s="298"/>
      <c r="E19" s="298"/>
      <c r="F19" s="298"/>
      <c r="G19" s="117">
        <f>SUM(G16:G18)</f>
        <v>5619.4</v>
      </c>
      <c r="H19" s="117">
        <f t="shared" ref="H19:W19" si="0">SUM(H16:H18)</f>
        <v>0</v>
      </c>
      <c r="I19" s="117">
        <f t="shared" si="0"/>
        <v>0</v>
      </c>
      <c r="J19" s="117">
        <f t="shared" si="0"/>
        <v>0</v>
      </c>
      <c r="K19" s="117">
        <f t="shared" si="0"/>
        <v>0</v>
      </c>
      <c r="L19" s="124">
        <f t="shared" si="0"/>
        <v>5619.4</v>
      </c>
      <c r="M19" s="118">
        <v>0.12</v>
      </c>
      <c r="N19" s="118">
        <f t="shared" si="0"/>
        <v>0.25</v>
      </c>
      <c r="O19" s="118">
        <f t="shared" si="0"/>
        <v>0.25</v>
      </c>
      <c r="P19" s="117">
        <f t="shared" si="0"/>
        <v>5619.4</v>
      </c>
      <c r="Q19" s="117">
        <f t="shared" si="0"/>
        <v>0</v>
      </c>
      <c r="R19" s="117">
        <f t="shared" si="0"/>
        <v>0</v>
      </c>
      <c r="S19" s="124">
        <f t="shared" si="0"/>
        <v>0</v>
      </c>
      <c r="T19" s="124">
        <f t="shared" si="0"/>
        <v>5619.4</v>
      </c>
      <c r="U19" s="124">
        <f t="shared" si="0"/>
        <v>0</v>
      </c>
      <c r="V19" s="117">
        <f t="shared" si="0"/>
        <v>0</v>
      </c>
      <c r="W19" s="117">
        <f t="shared" si="0"/>
        <v>0</v>
      </c>
    </row>
    <row r="20" spans="2:23" ht="16.5" thickTop="1" thickBot="1" x14ac:dyDescent="0.3">
      <c r="B20" s="296" t="s">
        <v>290</v>
      </c>
      <c r="C20" s="297"/>
      <c r="D20" s="297"/>
      <c r="E20" s="297"/>
      <c r="F20" s="297"/>
      <c r="G20" s="121">
        <f>G19</f>
        <v>5619.4</v>
      </c>
      <c r="H20" s="119"/>
      <c r="I20" s="119"/>
      <c r="J20" s="119"/>
      <c r="K20" s="119"/>
      <c r="L20" s="121">
        <v>5619.4</v>
      </c>
      <c r="M20" s="119"/>
      <c r="N20" s="119"/>
      <c r="O20" s="119"/>
      <c r="P20" s="121">
        <v>5619.4</v>
      </c>
      <c r="Q20" s="119"/>
      <c r="R20" s="119"/>
      <c r="S20" s="119"/>
      <c r="T20" s="121">
        <f>P20+Q20</f>
        <v>5619.4</v>
      </c>
      <c r="U20" s="120">
        <f>L20-T20</f>
        <v>0</v>
      </c>
    </row>
    <row r="21" spans="2:23" ht="16.5" thickTop="1" thickBot="1" x14ac:dyDescent="0.3">
      <c r="B21" s="293" t="s">
        <v>291</v>
      </c>
      <c r="C21" s="294"/>
      <c r="D21" s="294"/>
      <c r="E21" s="294"/>
      <c r="F21" s="295"/>
      <c r="G21" s="116">
        <f>+G19-G20</f>
        <v>0</v>
      </c>
      <c r="H21" s="288"/>
      <c r="I21" s="289"/>
      <c r="J21" s="289"/>
      <c r="K21" s="290"/>
      <c r="L21" s="116">
        <f>+L19-L20</f>
        <v>0</v>
      </c>
      <c r="M21" s="288"/>
      <c r="N21" s="289"/>
      <c r="O21" s="290"/>
      <c r="P21" s="116">
        <f>+P19-P20</f>
        <v>0</v>
      </c>
      <c r="Q21" s="288"/>
      <c r="R21" s="289"/>
      <c r="S21" s="290"/>
      <c r="T21" s="116">
        <f>+T19-T20</f>
        <v>0</v>
      </c>
      <c r="U21" s="116">
        <f>+U19-U20</f>
        <v>0</v>
      </c>
    </row>
    <row r="22" spans="2:23" ht="15.75" thickTop="1" x14ac:dyDescent="0.25"/>
    <row r="23" spans="2:23" x14ac:dyDescent="0.25">
      <c r="Q23" s="35"/>
      <c r="R23" s="35"/>
    </row>
    <row r="24" spans="2:23" x14ac:dyDescent="0.25">
      <c r="Q24" s="35"/>
      <c r="R24" s="35"/>
    </row>
    <row r="25" spans="2:23" x14ac:dyDescent="0.25">
      <c r="P25" s="35"/>
    </row>
    <row r="31" spans="2:23" x14ac:dyDescent="0.25">
      <c r="T31" s="112"/>
      <c r="U31" s="113"/>
      <c r="V31" s="113"/>
    </row>
  </sheetData>
  <mergeCells count="29">
    <mergeCell ref="B21:F21"/>
    <mergeCell ref="B20:F20"/>
    <mergeCell ref="H21:K21"/>
    <mergeCell ref="M21:O21"/>
    <mergeCell ref="B19:F19"/>
    <mergeCell ref="Q21:S21"/>
    <mergeCell ref="V12:V14"/>
    <mergeCell ref="W12:W14"/>
    <mergeCell ref="P13:P14"/>
    <mergeCell ref="Q13:Q14"/>
    <mergeCell ref="R13:R14"/>
    <mergeCell ref="S13:S14"/>
    <mergeCell ref="T13:T14"/>
    <mergeCell ref="B9:U9"/>
    <mergeCell ref="B10:U10"/>
    <mergeCell ref="B12:B14"/>
    <mergeCell ref="C12:C14"/>
    <mergeCell ref="E12:E14"/>
    <mergeCell ref="F12:F14"/>
    <mergeCell ref="G12:G14"/>
    <mergeCell ref="H12:I13"/>
    <mergeCell ref="J12:J14"/>
    <mergeCell ref="K12:K14"/>
    <mergeCell ref="L12:L14"/>
    <mergeCell ref="M12:M14"/>
    <mergeCell ref="N12:O13"/>
    <mergeCell ref="P12:T12"/>
    <mergeCell ref="U12:U14"/>
    <mergeCell ref="D12:D14"/>
  </mergeCells>
  <pageMargins left="0.25" right="0.25" top="0.75" bottom="0.75" header="0.3" footer="0.3"/>
  <pageSetup paperSize="9" scale="63" fitToHeight="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W21"/>
  <sheetViews>
    <sheetView zoomScaleNormal="100" workbookViewId="0">
      <selection activeCell="R26" sqref="R26"/>
    </sheetView>
  </sheetViews>
  <sheetFormatPr defaultColWidth="9.140625" defaultRowHeight="15" x14ac:dyDescent="0.25"/>
  <cols>
    <col min="1" max="1" width="5.7109375" style="2" customWidth="1"/>
    <col min="2" max="3" width="7.28515625" style="2" customWidth="1"/>
    <col min="4" max="4" width="23.7109375" style="2" customWidth="1"/>
    <col min="5" max="5" width="8.28515625" style="2" customWidth="1"/>
    <col min="6" max="6" width="16.28515625" style="2" bestFit="1" customWidth="1"/>
    <col min="7" max="7" width="8.42578125" style="2" customWidth="1"/>
    <col min="8" max="8" width="10" style="2" customWidth="1"/>
    <col min="9" max="10" width="7.42578125" style="2" customWidth="1"/>
    <col min="11" max="11" width="14.42578125" style="2" customWidth="1"/>
    <col min="12" max="12" width="11.28515625" style="2" customWidth="1"/>
    <col min="13" max="13" width="8.42578125" style="2" customWidth="1"/>
    <col min="14" max="14" width="8.140625" style="2" bestFit="1" customWidth="1"/>
    <col min="15" max="15" width="12.42578125" style="2" customWidth="1"/>
    <col min="16" max="17" width="11.28515625" style="2" customWidth="1"/>
    <col min="18" max="18" width="32.5703125" style="2" bestFit="1" customWidth="1"/>
    <col min="19" max="19" width="12.7109375" style="2" customWidth="1"/>
    <col min="20" max="20" width="14.28515625" style="2" customWidth="1"/>
    <col min="21" max="21" width="25.28515625" style="2" bestFit="1" customWidth="1"/>
    <col min="22" max="22" width="0" style="2" hidden="1" customWidth="1"/>
    <col min="23" max="23" width="14.85546875" style="2" hidden="1" customWidth="1"/>
    <col min="24" max="24" width="13.5703125" style="2" bestFit="1" customWidth="1"/>
    <col min="25" max="25" width="10.85546875" style="2" bestFit="1" customWidth="1"/>
    <col min="26" max="16384" width="9.140625" style="2"/>
  </cols>
  <sheetData>
    <row r="1" spans="1:23" x14ac:dyDescent="0.25">
      <c r="A1" s="113" t="s">
        <v>359</v>
      </c>
    </row>
    <row r="3" spans="1:23" x14ac:dyDescent="0.25">
      <c r="A3" s="299" t="s">
        <v>409</v>
      </c>
      <c r="B3" s="299"/>
      <c r="C3" s="299"/>
      <c r="D3" s="299"/>
      <c r="E3" s="299"/>
      <c r="F3" s="299"/>
      <c r="G3" s="299"/>
      <c r="H3" s="299"/>
      <c r="I3" s="299"/>
      <c r="J3" s="299"/>
      <c r="K3" s="299"/>
      <c r="L3" s="299"/>
      <c r="M3" s="299"/>
      <c r="N3" s="299"/>
      <c r="O3" s="299"/>
      <c r="P3" s="299"/>
      <c r="Q3" s="299"/>
      <c r="R3" s="299"/>
      <c r="S3" s="299"/>
      <c r="T3" s="299"/>
      <c r="U3" s="299"/>
    </row>
    <row r="4" spans="1:23" x14ac:dyDescent="0.25">
      <c r="A4" s="300" t="s">
        <v>156</v>
      </c>
      <c r="B4" s="300"/>
      <c r="C4" s="300"/>
      <c r="D4" s="300"/>
      <c r="E4" s="300"/>
      <c r="F4" s="300"/>
      <c r="G4" s="300"/>
      <c r="H4" s="300"/>
      <c r="I4" s="300"/>
      <c r="J4" s="300"/>
      <c r="K4" s="300"/>
      <c r="L4" s="300"/>
      <c r="M4" s="300"/>
      <c r="N4" s="300"/>
      <c r="O4" s="300"/>
      <c r="P4" s="300"/>
      <c r="Q4" s="300"/>
      <c r="R4" s="300"/>
      <c r="S4" s="300"/>
      <c r="T4" s="300"/>
      <c r="U4" s="300"/>
    </row>
    <row r="5" spans="1:23" ht="15.75" thickBot="1" x14ac:dyDescent="0.3">
      <c r="A5" s="71"/>
    </row>
    <row r="6" spans="1:23" s="51" customFormat="1" ht="30.75" customHeight="1" thickTop="1" thickBot="1" x14ac:dyDescent="0.3">
      <c r="A6" s="283" t="s">
        <v>0</v>
      </c>
      <c r="B6" s="283" t="s">
        <v>332</v>
      </c>
      <c r="C6" s="283" t="s">
        <v>524</v>
      </c>
      <c r="D6" s="283" t="s">
        <v>1</v>
      </c>
      <c r="E6" s="283" t="s">
        <v>7</v>
      </c>
      <c r="F6" s="283" t="s">
        <v>407</v>
      </c>
      <c r="G6" s="284" t="s">
        <v>523</v>
      </c>
      <c r="H6" s="284"/>
      <c r="I6" s="283" t="s">
        <v>18</v>
      </c>
      <c r="J6" s="283" t="s">
        <v>19</v>
      </c>
      <c r="K6" s="284" t="s">
        <v>408</v>
      </c>
      <c r="L6" s="283" t="s">
        <v>4</v>
      </c>
      <c r="M6" s="283" t="s">
        <v>5</v>
      </c>
      <c r="N6" s="283"/>
      <c r="O6" s="283" t="s">
        <v>8</v>
      </c>
      <c r="P6" s="283"/>
      <c r="Q6" s="283"/>
      <c r="R6" s="283"/>
      <c r="S6" s="283"/>
      <c r="T6" s="283"/>
      <c r="U6" s="285" t="s">
        <v>413</v>
      </c>
      <c r="V6" s="285" t="s">
        <v>252</v>
      </c>
      <c r="W6" s="285" t="s">
        <v>253</v>
      </c>
    </row>
    <row r="7" spans="1:23" s="51" customFormat="1" ht="21.75" customHeight="1" thickTop="1" thickBot="1" x14ac:dyDescent="0.3">
      <c r="A7" s="283"/>
      <c r="B7" s="283"/>
      <c r="C7" s="283"/>
      <c r="D7" s="283"/>
      <c r="E7" s="283"/>
      <c r="F7" s="283"/>
      <c r="G7" s="284"/>
      <c r="H7" s="284"/>
      <c r="I7" s="283"/>
      <c r="J7" s="283"/>
      <c r="K7" s="284"/>
      <c r="L7" s="283"/>
      <c r="M7" s="283"/>
      <c r="N7" s="283"/>
      <c r="O7" s="283" t="s">
        <v>6</v>
      </c>
      <c r="P7" s="291" t="s">
        <v>254</v>
      </c>
      <c r="Q7" s="291" t="s">
        <v>410</v>
      </c>
      <c r="R7" s="285" t="s">
        <v>411</v>
      </c>
      <c r="S7" s="285" t="s">
        <v>412</v>
      </c>
      <c r="T7" s="284" t="s">
        <v>265</v>
      </c>
      <c r="U7" s="286"/>
      <c r="V7" s="286"/>
      <c r="W7" s="286"/>
    </row>
    <row r="8" spans="1:23" s="51" customFormat="1" ht="42.75" customHeight="1" thickTop="1" thickBot="1" x14ac:dyDescent="0.3">
      <c r="A8" s="283"/>
      <c r="B8" s="283"/>
      <c r="C8" s="283"/>
      <c r="D8" s="283"/>
      <c r="E8" s="283"/>
      <c r="F8" s="283"/>
      <c r="G8" s="115" t="s">
        <v>2</v>
      </c>
      <c r="H8" s="115" t="s">
        <v>3</v>
      </c>
      <c r="I8" s="283"/>
      <c r="J8" s="283"/>
      <c r="K8" s="284"/>
      <c r="L8" s="283"/>
      <c r="M8" s="115" t="s">
        <v>256</v>
      </c>
      <c r="N8" s="115" t="s">
        <v>255</v>
      </c>
      <c r="O8" s="283"/>
      <c r="P8" s="292"/>
      <c r="Q8" s="292"/>
      <c r="R8" s="287"/>
      <c r="S8" s="287"/>
      <c r="T8" s="284"/>
      <c r="U8" s="287"/>
      <c r="V8" s="287"/>
      <c r="W8" s="287"/>
    </row>
    <row r="9" spans="1:23" s="3" customFormat="1" ht="16.5" thickTop="1" thickBot="1" x14ac:dyDescent="0.3">
      <c r="A9" s="74">
        <v>1</v>
      </c>
      <c r="B9" s="74">
        <v>2</v>
      </c>
      <c r="C9" s="74">
        <v>3</v>
      </c>
      <c r="D9" s="74">
        <v>4</v>
      </c>
      <c r="E9" s="74">
        <v>5</v>
      </c>
      <c r="F9" s="74">
        <v>6</v>
      </c>
      <c r="G9" s="74">
        <v>7</v>
      </c>
      <c r="H9" s="74">
        <v>8</v>
      </c>
      <c r="I9" s="74">
        <v>9</v>
      </c>
      <c r="J9" s="74">
        <v>10</v>
      </c>
      <c r="K9" s="74">
        <v>11</v>
      </c>
      <c r="L9" s="74">
        <v>12</v>
      </c>
      <c r="M9" s="74">
        <v>13</v>
      </c>
      <c r="N9" s="74">
        <v>14</v>
      </c>
      <c r="O9" s="74">
        <v>15</v>
      </c>
      <c r="P9" s="74">
        <v>16</v>
      </c>
      <c r="Q9" s="74">
        <v>17</v>
      </c>
      <c r="R9" s="74">
        <v>18</v>
      </c>
      <c r="S9" s="74">
        <v>19</v>
      </c>
      <c r="T9" s="74">
        <v>20</v>
      </c>
      <c r="U9" s="74">
        <v>21</v>
      </c>
      <c r="V9" s="74">
        <v>20</v>
      </c>
      <c r="W9" s="74">
        <v>21</v>
      </c>
    </row>
    <row r="10" spans="1:23" ht="15.75" thickTop="1" x14ac:dyDescent="0.25">
      <c r="A10" s="174">
        <v>1</v>
      </c>
      <c r="B10" s="23" t="s">
        <v>334</v>
      </c>
      <c r="C10" s="221" t="s">
        <v>285</v>
      </c>
      <c r="D10" s="24" t="s">
        <v>236</v>
      </c>
      <c r="E10" s="52">
        <v>1</v>
      </c>
      <c r="F10" s="14">
        <v>721803.11</v>
      </c>
      <c r="G10" s="6"/>
      <c r="H10" s="14">
        <v>155000</v>
      </c>
      <c r="I10" s="6"/>
      <c r="J10" s="4"/>
      <c r="K10" s="14">
        <f>+F10+H10</f>
        <v>876803.11</v>
      </c>
      <c r="L10" s="6">
        <v>0</v>
      </c>
      <c r="M10" s="10">
        <v>0</v>
      </c>
      <c r="N10" s="11">
        <v>0</v>
      </c>
      <c r="O10" s="14">
        <v>0</v>
      </c>
      <c r="P10" s="16">
        <v>0</v>
      </c>
      <c r="Q10" s="16"/>
      <c r="R10" s="16"/>
      <c r="S10" s="16">
        <v>0</v>
      </c>
      <c r="T10" s="16">
        <v>0</v>
      </c>
      <c r="U10" s="55">
        <f>+K10-T10</f>
        <v>876803.11</v>
      </c>
      <c r="V10" s="81"/>
      <c r="W10" s="77">
        <f>U10</f>
        <v>876803.11</v>
      </c>
    </row>
    <row r="11" spans="1:23" x14ac:dyDescent="0.25">
      <c r="A11" s="153">
        <v>2</v>
      </c>
      <c r="B11" s="22" t="s">
        <v>335</v>
      </c>
      <c r="C11" s="222" t="s">
        <v>491</v>
      </c>
      <c r="D11" s="5" t="s">
        <v>141</v>
      </c>
      <c r="E11" s="53">
        <v>1</v>
      </c>
      <c r="F11" s="15">
        <v>315023.58</v>
      </c>
      <c r="G11" s="7"/>
      <c r="H11" s="7"/>
      <c r="I11" s="7"/>
      <c r="J11" s="5"/>
      <c r="K11" s="15">
        <f t="shared" ref="K11:K16" si="0">+F11+H11</f>
        <v>315023.58</v>
      </c>
      <c r="L11" s="7">
        <v>0</v>
      </c>
      <c r="M11" s="18">
        <v>0</v>
      </c>
      <c r="N11" s="19">
        <v>0</v>
      </c>
      <c r="O11" s="15">
        <v>0</v>
      </c>
      <c r="P11" s="17">
        <v>0</v>
      </c>
      <c r="Q11" s="17"/>
      <c r="R11" s="17"/>
      <c r="S11" s="17">
        <v>0</v>
      </c>
      <c r="T11" s="17">
        <v>0</v>
      </c>
      <c r="U11" s="57">
        <f>+K11-T11</f>
        <v>315023.58</v>
      </c>
      <c r="V11" s="82"/>
      <c r="W11" s="75">
        <f>U11</f>
        <v>315023.58</v>
      </c>
    </row>
    <row r="12" spans="1:23" x14ac:dyDescent="0.25">
      <c r="A12" s="153">
        <v>3</v>
      </c>
      <c r="B12" s="22" t="s">
        <v>336</v>
      </c>
      <c r="C12" s="222" t="s">
        <v>526</v>
      </c>
      <c r="D12" s="5" t="s">
        <v>145</v>
      </c>
      <c r="E12" s="53">
        <v>1</v>
      </c>
      <c r="F12" s="15">
        <v>4182800.96</v>
      </c>
      <c r="G12" s="7"/>
      <c r="H12" s="7"/>
      <c r="I12" s="7"/>
      <c r="J12" s="5"/>
      <c r="K12" s="15">
        <f t="shared" si="0"/>
        <v>4182800.96</v>
      </c>
      <c r="L12" s="7">
        <v>0</v>
      </c>
      <c r="M12" s="18">
        <v>0</v>
      </c>
      <c r="N12" s="19">
        <v>0</v>
      </c>
      <c r="O12" s="15">
        <v>0</v>
      </c>
      <c r="P12" s="17">
        <v>0</v>
      </c>
      <c r="Q12" s="17"/>
      <c r="R12" s="17"/>
      <c r="S12" s="17">
        <v>0</v>
      </c>
      <c r="T12" s="17">
        <v>0</v>
      </c>
      <c r="U12" s="57">
        <f t="shared" ref="U12:U16" si="1">+K12-T12</f>
        <v>4182800.96</v>
      </c>
      <c r="V12" s="82"/>
      <c r="W12" s="75">
        <f t="shared" ref="W12:W16" si="2">U12</f>
        <v>4182800.96</v>
      </c>
    </row>
    <row r="13" spans="1:23" x14ac:dyDescent="0.25">
      <c r="A13" s="153">
        <v>4</v>
      </c>
      <c r="B13" s="22" t="s">
        <v>142</v>
      </c>
      <c r="C13" s="222" t="s">
        <v>492</v>
      </c>
      <c r="D13" s="5" t="s">
        <v>146</v>
      </c>
      <c r="E13" s="53">
        <v>1</v>
      </c>
      <c r="F13" s="15">
        <v>1502171.95</v>
      </c>
      <c r="G13" s="7"/>
      <c r="H13" s="7"/>
      <c r="I13" s="7"/>
      <c r="J13" s="5"/>
      <c r="K13" s="15">
        <f t="shared" si="0"/>
        <v>1502171.95</v>
      </c>
      <c r="L13" s="7">
        <v>0</v>
      </c>
      <c r="M13" s="18">
        <v>0</v>
      </c>
      <c r="N13" s="19">
        <v>0</v>
      </c>
      <c r="O13" s="15">
        <v>0</v>
      </c>
      <c r="P13" s="17">
        <v>0</v>
      </c>
      <c r="Q13" s="17"/>
      <c r="R13" s="17"/>
      <c r="S13" s="17">
        <v>0</v>
      </c>
      <c r="T13" s="17">
        <v>0</v>
      </c>
      <c r="U13" s="57">
        <f t="shared" si="1"/>
        <v>1502171.95</v>
      </c>
      <c r="V13" s="82"/>
      <c r="W13" s="75">
        <f t="shared" si="2"/>
        <v>1502171.95</v>
      </c>
    </row>
    <row r="14" spans="1:23" x14ac:dyDescent="0.25">
      <c r="A14" s="153">
        <v>5</v>
      </c>
      <c r="B14" s="22" t="s">
        <v>337</v>
      </c>
      <c r="C14" s="222" t="s">
        <v>286</v>
      </c>
      <c r="D14" s="5" t="s">
        <v>147</v>
      </c>
      <c r="E14" s="53">
        <v>1</v>
      </c>
      <c r="F14" s="15">
        <v>4000000</v>
      </c>
      <c r="G14" s="7"/>
      <c r="H14" s="7"/>
      <c r="I14" s="7"/>
      <c r="J14" s="5"/>
      <c r="K14" s="15">
        <f t="shared" si="0"/>
        <v>4000000</v>
      </c>
      <c r="L14" s="7">
        <v>0</v>
      </c>
      <c r="M14" s="18">
        <v>0</v>
      </c>
      <c r="N14" s="19">
        <v>0</v>
      </c>
      <c r="O14" s="15">
        <v>0</v>
      </c>
      <c r="P14" s="17">
        <v>0</v>
      </c>
      <c r="Q14" s="17"/>
      <c r="R14" s="17"/>
      <c r="S14" s="17">
        <v>0</v>
      </c>
      <c r="T14" s="17">
        <v>0</v>
      </c>
      <c r="U14" s="57">
        <f t="shared" si="1"/>
        <v>4000000</v>
      </c>
      <c r="V14" s="82"/>
      <c r="W14" s="75">
        <f t="shared" si="2"/>
        <v>4000000</v>
      </c>
    </row>
    <row r="15" spans="1:23" x14ac:dyDescent="0.25">
      <c r="A15" s="153">
        <v>6</v>
      </c>
      <c r="B15" s="22" t="s">
        <v>143</v>
      </c>
      <c r="C15" s="222" t="s">
        <v>527</v>
      </c>
      <c r="D15" s="5" t="s">
        <v>149</v>
      </c>
      <c r="E15" s="53">
        <v>1</v>
      </c>
      <c r="F15" s="15">
        <v>240428.93</v>
      </c>
      <c r="G15" s="7"/>
      <c r="H15" s="7"/>
      <c r="I15" s="7"/>
      <c r="J15" s="5"/>
      <c r="K15" s="15">
        <f t="shared" si="0"/>
        <v>240428.93</v>
      </c>
      <c r="L15" s="7">
        <v>0</v>
      </c>
      <c r="M15" s="18">
        <v>0</v>
      </c>
      <c r="N15" s="19">
        <v>0</v>
      </c>
      <c r="O15" s="15">
        <v>0</v>
      </c>
      <c r="P15" s="17">
        <v>0</v>
      </c>
      <c r="Q15" s="17"/>
      <c r="R15" s="17"/>
      <c r="S15" s="17">
        <v>0</v>
      </c>
      <c r="T15" s="17">
        <v>0</v>
      </c>
      <c r="U15" s="57">
        <f t="shared" si="1"/>
        <v>240428.93</v>
      </c>
      <c r="V15" s="82"/>
      <c r="W15" s="75">
        <f t="shared" si="2"/>
        <v>240428.93</v>
      </c>
    </row>
    <row r="16" spans="1:23" ht="15.75" thickBot="1" x14ac:dyDescent="0.3">
      <c r="A16" s="153">
        <v>7</v>
      </c>
      <c r="B16" s="22" t="s">
        <v>144</v>
      </c>
      <c r="C16" s="222" t="s">
        <v>287</v>
      </c>
      <c r="D16" s="7" t="s">
        <v>148</v>
      </c>
      <c r="E16" s="53">
        <v>1</v>
      </c>
      <c r="F16" s="15">
        <v>135000</v>
      </c>
      <c r="G16" s="7"/>
      <c r="H16" s="17"/>
      <c r="I16" s="7"/>
      <c r="J16" s="5"/>
      <c r="K16" s="15">
        <f t="shared" si="0"/>
        <v>135000</v>
      </c>
      <c r="L16" s="7">
        <v>0</v>
      </c>
      <c r="M16" s="18">
        <v>0</v>
      </c>
      <c r="N16" s="19">
        <v>0</v>
      </c>
      <c r="O16" s="15">
        <v>0</v>
      </c>
      <c r="P16" s="17">
        <v>0</v>
      </c>
      <c r="Q16" s="17"/>
      <c r="R16" s="17"/>
      <c r="S16" s="17">
        <v>0</v>
      </c>
      <c r="T16" s="21">
        <v>0</v>
      </c>
      <c r="U16" s="57">
        <f t="shared" si="1"/>
        <v>135000</v>
      </c>
      <c r="V16" s="82"/>
      <c r="W16" s="75">
        <f t="shared" si="2"/>
        <v>135000</v>
      </c>
    </row>
    <row r="17" spans="1:23" ht="16.5" thickTop="1" thickBot="1" x14ac:dyDescent="0.3">
      <c r="A17" s="298" t="s">
        <v>12</v>
      </c>
      <c r="B17" s="298"/>
      <c r="C17" s="298"/>
      <c r="D17" s="298"/>
      <c r="E17" s="298"/>
      <c r="F17" s="117">
        <f>SUM(F10:F16)</f>
        <v>11097228.530000001</v>
      </c>
      <c r="G17" s="117">
        <f t="shared" ref="G17:W17" si="3">SUM(G10:G16)</f>
        <v>0</v>
      </c>
      <c r="H17" s="117">
        <f>SUM(H10:H16)</f>
        <v>155000</v>
      </c>
      <c r="I17" s="117">
        <f t="shared" si="3"/>
        <v>0</v>
      </c>
      <c r="J17" s="117">
        <f t="shared" si="3"/>
        <v>0</v>
      </c>
      <c r="K17" s="124">
        <f t="shared" si="3"/>
        <v>11252228.530000001</v>
      </c>
      <c r="L17" s="118"/>
      <c r="M17" s="118">
        <f t="shared" si="3"/>
        <v>0</v>
      </c>
      <c r="N17" s="118">
        <f t="shared" si="3"/>
        <v>0</v>
      </c>
      <c r="O17" s="117">
        <f t="shared" si="3"/>
        <v>0</v>
      </c>
      <c r="P17" s="117">
        <f t="shared" si="3"/>
        <v>0</v>
      </c>
      <c r="Q17" s="117"/>
      <c r="R17" s="117">
        <f t="shared" si="3"/>
        <v>0</v>
      </c>
      <c r="S17" s="124">
        <f t="shared" si="3"/>
        <v>0</v>
      </c>
      <c r="T17" s="124">
        <f t="shared" si="3"/>
        <v>0</v>
      </c>
      <c r="U17" s="124">
        <f t="shared" si="3"/>
        <v>11252228.530000001</v>
      </c>
      <c r="V17" s="117">
        <f t="shared" si="3"/>
        <v>0</v>
      </c>
      <c r="W17" s="117">
        <f t="shared" si="3"/>
        <v>11252228.530000001</v>
      </c>
    </row>
    <row r="18" spans="1:23" ht="16.5" thickTop="1" thickBot="1" x14ac:dyDescent="0.3">
      <c r="A18" s="296" t="s">
        <v>292</v>
      </c>
      <c r="B18" s="297"/>
      <c r="C18" s="297"/>
      <c r="D18" s="297"/>
      <c r="E18" s="297"/>
      <c r="F18" s="121">
        <v>11097228.529999999</v>
      </c>
      <c r="G18" s="121"/>
      <c r="H18" s="121">
        <v>155000</v>
      </c>
      <c r="I18" s="121"/>
      <c r="J18" s="121"/>
      <c r="K18" s="121">
        <v>11252228.529999999</v>
      </c>
      <c r="L18" s="119"/>
      <c r="M18" s="119"/>
      <c r="N18" s="119"/>
      <c r="O18" s="121">
        <v>0</v>
      </c>
      <c r="P18" s="121">
        <v>0</v>
      </c>
      <c r="Q18" s="121"/>
      <c r="R18" s="121"/>
      <c r="S18" s="121"/>
      <c r="T18" s="121"/>
      <c r="U18" s="120">
        <v>11252228.529999999</v>
      </c>
    </row>
    <row r="19" spans="1:23" ht="16.5" thickTop="1" thickBot="1" x14ac:dyDescent="0.3">
      <c r="A19" s="293" t="s">
        <v>291</v>
      </c>
      <c r="B19" s="294"/>
      <c r="C19" s="294"/>
      <c r="D19" s="294"/>
      <c r="E19" s="295"/>
      <c r="F19" s="116">
        <f>+F17-F18</f>
        <v>0</v>
      </c>
      <c r="G19" s="122"/>
      <c r="H19" s="123">
        <f>+H17-H18</f>
        <v>0</v>
      </c>
      <c r="I19" s="122"/>
      <c r="J19" s="122"/>
      <c r="K19" s="116">
        <f>+K17-K18</f>
        <v>0</v>
      </c>
      <c r="L19" s="288"/>
      <c r="M19" s="289"/>
      <c r="N19" s="290"/>
      <c r="O19" s="116">
        <f>+O17-O18</f>
        <v>0</v>
      </c>
      <c r="P19" s="116">
        <f>+P17-P18</f>
        <v>0</v>
      </c>
      <c r="Q19" s="116"/>
      <c r="R19" s="122"/>
      <c r="S19" s="122"/>
      <c r="T19" s="116">
        <f>+T17-T18</f>
        <v>0</v>
      </c>
      <c r="U19" s="116">
        <f>+U17-U18</f>
        <v>0</v>
      </c>
    </row>
    <row r="20" spans="1:23" ht="15.75" thickTop="1" x14ac:dyDescent="0.25"/>
    <row r="21" spans="1:23" x14ac:dyDescent="0.25">
      <c r="R21" s="15"/>
    </row>
  </sheetData>
  <mergeCells count="28">
    <mergeCell ref="A17:E17"/>
    <mergeCell ref="A18:E18"/>
    <mergeCell ref="A19:E19"/>
    <mergeCell ref="L19:N19"/>
    <mergeCell ref="V6:V8"/>
    <mergeCell ref="Q7:Q8"/>
    <mergeCell ref="C6:C8"/>
    <mergeCell ref="W6:W8"/>
    <mergeCell ref="P7:P8"/>
    <mergeCell ref="R7:R8"/>
    <mergeCell ref="S7:S8"/>
    <mergeCell ref="J6:J8"/>
    <mergeCell ref="K6:K8"/>
    <mergeCell ref="L6:L8"/>
    <mergeCell ref="M6:N7"/>
    <mergeCell ref="O6:T6"/>
    <mergeCell ref="O7:O8"/>
    <mergeCell ref="T7:T8"/>
    <mergeCell ref="A3:U3"/>
    <mergeCell ref="A4:U4"/>
    <mergeCell ref="A6:A8"/>
    <mergeCell ref="B6:B8"/>
    <mergeCell ref="D6:D8"/>
    <mergeCell ref="E6:E8"/>
    <mergeCell ref="F6:F8"/>
    <mergeCell ref="G6:H7"/>
    <mergeCell ref="I6:I8"/>
    <mergeCell ref="U6:U8"/>
  </mergeCells>
  <pageMargins left="0.25" right="0.25" top="0.75" bottom="0.75" header="0.3" footer="0.3"/>
  <pageSetup paperSize="9" scale="60" fitToHeight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AA41"/>
  <sheetViews>
    <sheetView topLeftCell="F1" zoomScaleNormal="100" workbookViewId="0">
      <selection activeCell="U11" sqref="U11"/>
    </sheetView>
  </sheetViews>
  <sheetFormatPr defaultColWidth="9.140625" defaultRowHeight="15" x14ac:dyDescent="0.25"/>
  <cols>
    <col min="1" max="1" width="5.7109375" style="164" customWidth="1"/>
    <col min="2" max="2" width="7.28515625" style="2" customWidth="1"/>
    <col min="3" max="3" width="15" style="2" bestFit="1" customWidth="1"/>
    <col min="4" max="4" width="23.7109375" style="2" customWidth="1"/>
    <col min="5" max="5" width="16.140625" style="2" customWidth="1"/>
    <col min="6" max="6" width="31.28515625" style="2" bestFit="1" customWidth="1"/>
    <col min="7" max="7" width="8.42578125" style="2" customWidth="1"/>
    <col min="8" max="8" width="13.7109375" style="2" bestFit="1" customWidth="1"/>
    <col min="9" max="9" width="7.42578125" style="2" customWidth="1"/>
    <col min="10" max="10" width="21.28515625" style="2" customWidth="1"/>
    <col min="11" max="11" width="14.42578125" style="2" customWidth="1"/>
    <col min="12" max="13" width="11.28515625" style="2" customWidth="1"/>
    <col min="14" max="14" width="8.42578125" style="2" customWidth="1"/>
    <col min="15" max="15" width="8.140625" style="2" customWidth="1"/>
    <col min="16" max="16" width="12.42578125" style="2" customWidth="1"/>
    <col min="17" max="17" width="15.28515625" style="2" bestFit="1" customWidth="1"/>
    <col min="18" max="19" width="15.28515625" style="2" customWidth="1"/>
    <col min="20" max="20" width="20.42578125" style="2" bestFit="1" customWidth="1"/>
    <col min="21" max="21" width="15.7109375" style="2" bestFit="1" customWidth="1"/>
    <col min="22" max="22" width="13.7109375" style="2" bestFit="1" customWidth="1"/>
    <col min="23" max="23" width="17" style="2" bestFit="1" customWidth="1"/>
    <col min="24" max="24" width="16.28515625" style="2" hidden="1" customWidth="1"/>
    <col min="25" max="25" width="14.85546875" style="2" hidden="1" customWidth="1"/>
    <col min="26" max="26" width="13.5703125" style="2" bestFit="1" customWidth="1"/>
    <col min="27" max="27" width="10.85546875" style="2" bestFit="1" customWidth="1"/>
    <col min="28" max="16384" width="9.140625" style="2"/>
  </cols>
  <sheetData>
    <row r="1" spans="1:26" x14ac:dyDescent="0.25">
      <c r="A1" s="140" t="s">
        <v>359</v>
      </c>
    </row>
    <row r="3" spans="1:26" x14ac:dyDescent="0.25">
      <c r="A3" s="299" t="s">
        <v>864</v>
      </c>
      <c r="B3" s="299"/>
      <c r="C3" s="299"/>
      <c r="D3" s="299"/>
      <c r="E3" s="299"/>
      <c r="F3" s="299"/>
      <c r="G3" s="299"/>
      <c r="H3" s="299"/>
      <c r="I3" s="299"/>
      <c r="J3" s="299"/>
      <c r="K3" s="299"/>
      <c r="L3" s="299"/>
      <c r="M3" s="299"/>
      <c r="N3" s="299"/>
      <c r="O3" s="299"/>
      <c r="P3" s="299"/>
      <c r="Q3" s="299"/>
      <c r="R3" s="299"/>
      <c r="S3" s="299"/>
      <c r="T3" s="299"/>
      <c r="U3" s="299"/>
      <c r="V3" s="299"/>
      <c r="W3" s="299"/>
    </row>
    <row r="4" spans="1:26" x14ac:dyDescent="0.25">
      <c r="A4" s="300" t="s">
        <v>296</v>
      </c>
      <c r="B4" s="300"/>
      <c r="C4" s="300"/>
      <c r="D4" s="300"/>
      <c r="E4" s="300"/>
      <c r="F4" s="300"/>
      <c r="G4" s="300"/>
      <c r="H4" s="300"/>
      <c r="I4" s="300"/>
      <c r="J4" s="300"/>
      <c r="K4" s="300"/>
      <c r="L4" s="300"/>
      <c r="M4" s="300"/>
      <c r="N4" s="300"/>
      <c r="O4" s="300"/>
      <c r="P4" s="300"/>
      <c r="Q4" s="300"/>
      <c r="R4" s="300"/>
      <c r="S4" s="300"/>
      <c r="T4" s="300"/>
      <c r="U4" s="300"/>
      <c r="V4" s="300"/>
      <c r="W4" s="300"/>
    </row>
    <row r="5" spans="1:26" ht="15.75" thickBot="1" x14ac:dyDescent="0.3">
      <c r="A5" s="165"/>
    </row>
    <row r="6" spans="1:26" ht="16.5" customHeight="1" thickTop="1" thickBot="1" x14ac:dyDescent="0.3">
      <c r="A6" s="283" t="s">
        <v>0</v>
      </c>
      <c r="B6" s="283" t="s">
        <v>332</v>
      </c>
      <c r="C6" s="283" t="s">
        <v>524</v>
      </c>
      <c r="D6" s="283" t="s">
        <v>1</v>
      </c>
      <c r="E6" s="283" t="s">
        <v>7</v>
      </c>
      <c r="F6" s="283" t="s">
        <v>878</v>
      </c>
      <c r="G6" s="284" t="s">
        <v>523</v>
      </c>
      <c r="H6" s="284"/>
      <c r="I6" s="283" t="s">
        <v>18</v>
      </c>
      <c r="J6" s="283" t="s">
        <v>19</v>
      </c>
      <c r="K6" s="284" t="s">
        <v>408</v>
      </c>
      <c r="L6" s="283" t="s">
        <v>4</v>
      </c>
      <c r="M6" s="301" t="s">
        <v>5</v>
      </c>
      <c r="N6" s="302"/>
      <c r="O6" s="303"/>
      <c r="P6" s="283" t="s">
        <v>8</v>
      </c>
      <c r="Q6" s="283"/>
      <c r="R6" s="283"/>
      <c r="S6" s="283"/>
      <c r="T6" s="283"/>
      <c r="U6" s="283"/>
      <c r="V6" s="283"/>
      <c r="W6" s="285" t="s">
        <v>868</v>
      </c>
      <c r="X6" s="285" t="s">
        <v>252</v>
      </c>
      <c r="Y6" s="285" t="s">
        <v>253</v>
      </c>
    </row>
    <row r="7" spans="1:26" ht="25.5" customHeight="1" thickTop="1" thickBot="1" x14ac:dyDescent="0.3">
      <c r="A7" s="283"/>
      <c r="B7" s="283"/>
      <c r="C7" s="283"/>
      <c r="D7" s="283"/>
      <c r="E7" s="283"/>
      <c r="F7" s="283"/>
      <c r="G7" s="284"/>
      <c r="H7" s="284"/>
      <c r="I7" s="283"/>
      <c r="J7" s="283"/>
      <c r="K7" s="284"/>
      <c r="L7" s="283"/>
      <c r="M7" s="304"/>
      <c r="N7" s="305"/>
      <c r="O7" s="306"/>
      <c r="P7" s="283" t="s">
        <v>6</v>
      </c>
      <c r="Q7" s="291" t="s">
        <v>254</v>
      </c>
      <c r="R7" s="291" t="s">
        <v>410</v>
      </c>
      <c r="S7" s="291" t="s">
        <v>865</v>
      </c>
      <c r="T7" s="285" t="s">
        <v>866</v>
      </c>
      <c r="U7" s="285" t="s">
        <v>867</v>
      </c>
      <c r="V7" s="283" t="s">
        <v>265</v>
      </c>
      <c r="W7" s="286"/>
      <c r="X7" s="286"/>
      <c r="Y7" s="286"/>
    </row>
    <row r="8" spans="1:26" ht="25.5" thickTop="1" thickBot="1" x14ac:dyDescent="0.3">
      <c r="A8" s="283"/>
      <c r="B8" s="283"/>
      <c r="C8" s="283"/>
      <c r="D8" s="283"/>
      <c r="E8" s="283"/>
      <c r="F8" s="283"/>
      <c r="G8" s="163" t="s">
        <v>2</v>
      </c>
      <c r="H8" s="163" t="s">
        <v>3</v>
      </c>
      <c r="I8" s="283"/>
      <c r="J8" s="283"/>
      <c r="K8" s="284"/>
      <c r="L8" s="283"/>
      <c r="M8" s="163" t="s">
        <v>869</v>
      </c>
      <c r="N8" s="163" t="s">
        <v>256</v>
      </c>
      <c r="O8" s="163" t="s">
        <v>255</v>
      </c>
      <c r="P8" s="283"/>
      <c r="Q8" s="292"/>
      <c r="R8" s="292"/>
      <c r="S8" s="292"/>
      <c r="T8" s="287"/>
      <c r="U8" s="287"/>
      <c r="V8" s="283"/>
      <c r="W8" s="287"/>
      <c r="X8" s="287"/>
      <c r="Y8" s="287"/>
    </row>
    <row r="9" spans="1:26" ht="13.15" customHeight="1" thickTop="1" thickBot="1" x14ac:dyDescent="0.3">
      <c r="A9" s="74">
        <v>1</v>
      </c>
      <c r="B9" s="74">
        <v>2</v>
      </c>
      <c r="C9" s="74">
        <v>3</v>
      </c>
      <c r="D9" s="74">
        <v>4</v>
      </c>
      <c r="E9" s="74">
        <v>5</v>
      </c>
      <c r="F9" s="74">
        <v>6</v>
      </c>
      <c r="G9" s="74">
        <v>7</v>
      </c>
      <c r="H9" s="74">
        <v>8</v>
      </c>
      <c r="I9" s="74">
        <v>9</v>
      </c>
      <c r="J9" s="74">
        <v>10</v>
      </c>
      <c r="K9" s="74">
        <v>11</v>
      </c>
      <c r="L9" s="74">
        <v>12</v>
      </c>
      <c r="M9" s="74">
        <v>13</v>
      </c>
      <c r="N9" s="74">
        <v>14</v>
      </c>
      <c r="O9" s="74">
        <v>15</v>
      </c>
      <c r="P9" s="74">
        <v>16</v>
      </c>
      <c r="Q9" s="74">
        <v>17</v>
      </c>
      <c r="R9" s="74">
        <v>18</v>
      </c>
      <c r="S9" s="74">
        <v>19</v>
      </c>
      <c r="T9" s="74">
        <v>20</v>
      </c>
      <c r="U9" s="74">
        <v>21</v>
      </c>
      <c r="V9" s="74">
        <v>22</v>
      </c>
      <c r="W9" s="74">
        <v>23</v>
      </c>
      <c r="X9" s="74">
        <v>20</v>
      </c>
      <c r="Y9" s="74">
        <v>21</v>
      </c>
    </row>
    <row r="10" spans="1:26" ht="15.75" thickTop="1" x14ac:dyDescent="0.25">
      <c r="A10" s="153">
        <v>1</v>
      </c>
      <c r="B10" s="22" t="s">
        <v>319</v>
      </c>
      <c r="C10" s="222" t="s">
        <v>287</v>
      </c>
      <c r="D10" s="73" t="s">
        <v>424</v>
      </c>
      <c r="E10" s="7">
        <v>1</v>
      </c>
      <c r="F10" s="15">
        <f>10244184.4+264661.14</f>
        <v>10508845.540000001</v>
      </c>
      <c r="G10" s="7"/>
      <c r="H10" s="79">
        <f>5940+323754.87</f>
        <v>329694.87</v>
      </c>
      <c r="I10" s="7"/>
      <c r="J10" s="5"/>
      <c r="K10" s="15">
        <f>+F10+H10</f>
        <v>10838540.41</v>
      </c>
      <c r="L10" s="30" t="s">
        <v>427</v>
      </c>
      <c r="M10" s="170">
        <v>0.02</v>
      </c>
      <c r="N10" s="80">
        <v>2.6599999999999999E-2</v>
      </c>
      <c r="O10" s="18">
        <v>0.1</v>
      </c>
      <c r="P10" s="15">
        <v>384961.65</v>
      </c>
      <c r="Q10" s="17">
        <v>72180.31</v>
      </c>
      <c r="R10" s="17">
        <v>18045.077499999999</v>
      </c>
      <c r="S10" s="17">
        <v>177776.39299066662</v>
      </c>
      <c r="T10" s="17">
        <f>+U10/12</f>
        <v>17876.120200000001</v>
      </c>
      <c r="U10" s="17">
        <f>+F10*M10+323754.87*M10/12*8+5940*M10/12*2</f>
        <v>214513.4424</v>
      </c>
      <c r="V10" s="17">
        <f>+P10+Q10+R10+S10+U10</f>
        <v>867476.87289066659</v>
      </c>
      <c r="W10" s="57">
        <f>+K10-R10-S10-U10</f>
        <v>10428205.497109333</v>
      </c>
      <c r="X10" s="57">
        <f>+T10*9</f>
        <v>160885.08180000001</v>
      </c>
      <c r="Y10" s="57">
        <f t="shared" ref="Y10:Y29" si="0">+K10-P10-Q10-X10</f>
        <v>10220513.368199999</v>
      </c>
      <c r="Z10" s="15"/>
    </row>
    <row r="11" spans="1:26" x14ac:dyDescent="0.25">
      <c r="A11" s="153">
        <v>3</v>
      </c>
      <c r="B11" s="22" t="s">
        <v>320</v>
      </c>
      <c r="C11" s="222" t="s">
        <v>493</v>
      </c>
      <c r="D11" s="5" t="s">
        <v>129</v>
      </c>
      <c r="E11" s="7">
        <v>1</v>
      </c>
      <c r="F11" s="15">
        <v>78021.102999999988</v>
      </c>
      <c r="G11" s="7"/>
      <c r="H11" s="7"/>
      <c r="I11" s="7"/>
      <c r="J11" s="5"/>
      <c r="K11" s="15">
        <f>+F11+H11</f>
        <v>78021.102999999988</v>
      </c>
      <c r="L11" s="30">
        <v>12</v>
      </c>
      <c r="M11" s="5"/>
      <c r="N11" s="80">
        <v>2.6599999999999999E-2</v>
      </c>
      <c r="O11" s="18">
        <v>0.1</v>
      </c>
      <c r="P11" s="15">
        <v>37407.379999999997</v>
      </c>
      <c r="Q11" s="17">
        <v>12825.387000000001</v>
      </c>
      <c r="R11" s="17">
        <v>3206.3467500000002</v>
      </c>
      <c r="S11" s="17">
        <v>2075.3613397999998</v>
      </c>
      <c r="T11" s="17">
        <f>+U11/12</f>
        <v>172.94677831666664</v>
      </c>
      <c r="U11" s="17">
        <f t="shared" ref="U11:U29" si="1">+K11*N11</f>
        <v>2075.3613397999998</v>
      </c>
      <c r="V11" s="17">
        <f>+P11+Q11+R11+S11+U11</f>
        <v>57589.8364296</v>
      </c>
      <c r="W11" s="57">
        <f>+K11-R11-S11-U11</f>
        <v>70664.033570399988</v>
      </c>
      <c r="X11" s="58">
        <f>+T11*9</f>
        <v>1556.5210048499998</v>
      </c>
      <c r="Y11" s="58">
        <f t="shared" si="0"/>
        <v>26231.814995149987</v>
      </c>
      <c r="Z11" s="15"/>
    </row>
    <row r="12" spans="1:26" x14ac:dyDescent="0.25">
      <c r="A12" s="153">
        <v>4</v>
      </c>
      <c r="B12" s="22" t="s">
        <v>319</v>
      </c>
      <c r="C12" s="222" t="s">
        <v>528</v>
      </c>
      <c r="D12" s="5" t="s">
        <v>130</v>
      </c>
      <c r="E12" s="7">
        <v>1</v>
      </c>
      <c r="F12" s="15">
        <v>10858.4</v>
      </c>
      <c r="G12" s="7"/>
      <c r="H12" s="7"/>
      <c r="I12" s="7"/>
      <c r="J12" s="5"/>
      <c r="K12" s="15">
        <f t="shared" ref="K12:K27" si="2">+F12+H12</f>
        <v>10858.4</v>
      </c>
      <c r="L12" s="30">
        <v>12</v>
      </c>
      <c r="M12" s="5"/>
      <c r="N12" s="80">
        <v>2.6599999999999999E-2</v>
      </c>
      <c r="O12" s="18">
        <v>0.1</v>
      </c>
      <c r="P12" s="15">
        <v>3102.4</v>
      </c>
      <c r="Q12" s="17">
        <v>1551.2</v>
      </c>
      <c r="R12" s="17">
        <v>387.8</v>
      </c>
      <c r="S12" s="17">
        <v>288.83344</v>
      </c>
      <c r="T12" s="17">
        <f>+U12/12</f>
        <v>24.069453333333332</v>
      </c>
      <c r="U12" s="17">
        <f t="shared" si="1"/>
        <v>288.83344</v>
      </c>
      <c r="V12" s="17">
        <f t="shared" ref="V12:V29" si="3">+P12+Q12+R12+S12+U12</f>
        <v>5619.0668800000012</v>
      </c>
      <c r="W12" s="57">
        <f t="shared" ref="W12:W29" si="4">+K12-R12-S12-U12</f>
        <v>9892.9331199999997</v>
      </c>
      <c r="X12" s="58">
        <f t="shared" ref="X12:X29" si="5">+T12*9</f>
        <v>216.62508</v>
      </c>
      <c r="Y12" s="58">
        <f t="shared" si="0"/>
        <v>5988.1749200000004</v>
      </c>
      <c r="Z12" s="15"/>
    </row>
    <row r="13" spans="1:26" x14ac:dyDescent="0.25">
      <c r="A13" s="153">
        <v>5</v>
      </c>
      <c r="B13" s="22" t="s">
        <v>321</v>
      </c>
      <c r="C13" s="222" t="s">
        <v>529</v>
      </c>
      <c r="D13" s="5" t="s">
        <v>131</v>
      </c>
      <c r="E13" s="7">
        <v>1</v>
      </c>
      <c r="F13" s="15">
        <v>484030.4360000001</v>
      </c>
      <c r="G13" s="7"/>
      <c r="H13" s="7"/>
      <c r="I13" s="7"/>
      <c r="J13" s="5"/>
      <c r="K13" s="15">
        <f t="shared" si="2"/>
        <v>484030.4360000001</v>
      </c>
      <c r="L13" s="30">
        <v>12</v>
      </c>
      <c r="M13" s="5"/>
      <c r="N13" s="80">
        <v>2.6599999999999999E-2</v>
      </c>
      <c r="O13" s="18">
        <v>0.1</v>
      </c>
      <c r="P13" s="15">
        <v>84179.199999999997</v>
      </c>
      <c r="Q13" s="17">
        <v>63134.40400000001</v>
      </c>
      <c r="R13" s="17">
        <v>15783.601000000002</v>
      </c>
      <c r="S13" s="17">
        <v>12875.209597600002</v>
      </c>
      <c r="T13" s="17">
        <f>+U13/12</f>
        <v>1072.9341331333335</v>
      </c>
      <c r="U13" s="17">
        <f t="shared" si="1"/>
        <v>12875.209597600002</v>
      </c>
      <c r="V13" s="17">
        <f t="shared" si="3"/>
        <v>188847.62419520001</v>
      </c>
      <c r="W13" s="57">
        <f t="shared" si="4"/>
        <v>442496.41580480011</v>
      </c>
      <c r="X13" s="58">
        <f t="shared" si="5"/>
        <v>9656.4071982000023</v>
      </c>
      <c r="Y13" s="58">
        <f t="shared" si="0"/>
        <v>327060.42480180005</v>
      </c>
      <c r="Z13" s="15"/>
    </row>
    <row r="14" spans="1:26" x14ac:dyDescent="0.25">
      <c r="A14" s="153">
        <v>6</v>
      </c>
      <c r="B14" s="22"/>
      <c r="C14" s="222"/>
      <c r="D14" s="5" t="s">
        <v>297</v>
      </c>
      <c r="E14" s="7">
        <v>1</v>
      </c>
      <c r="F14" s="15">
        <v>0</v>
      </c>
      <c r="G14" s="7"/>
      <c r="H14" s="7"/>
      <c r="I14" s="7"/>
      <c r="J14" s="5"/>
      <c r="K14" s="15">
        <f t="shared" si="2"/>
        <v>0</v>
      </c>
      <c r="L14" s="30">
        <v>12</v>
      </c>
      <c r="M14" s="5"/>
      <c r="N14" s="80">
        <v>2.6599999999999999E-2</v>
      </c>
      <c r="O14" s="18">
        <v>0.05</v>
      </c>
      <c r="P14" s="15">
        <v>0</v>
      </c>
      <c r="Q14" s="17">
        <v>0</v>
      </c>
      <c r="R14" s="17">
        <v>0</v>
      </c>
      <c r="S14" s="17">
        <v>0</v>
      </c>
      <c r="T14" s="17">
        <f t="shared" ref="T14:T29" si="6">+U14/12</f>
        <v>0</v>
      </c>
      <c r="U14" s="17">
        <f t="shared" si="1"/>
        <v>0</v>
      </c>
      <c r="V14" s="17">
        <f t="shared" si="3"/>
        <v>0</v>
      </c>
      <c r="W14" s="57">
        <f t="shared" si="4"/>
        <v>0</v>
      </c>
      <c r="X14" s="58">
        <f t="shared" si="5"/>
        <v>0</v>
      </c>
      <c r="Y14" s="58">
        <f t="shared" si="0"/>
        <v>0</v>
      </c>
      <c r="Z14" s="15"/>
    </row>
    <row r="15" spans="1:26" x14ac:dyDescent="0.25">
      <c r="A15" s="153">
        <v>7</v>
      </c>
      <c r="B15" s="22" t="s">
        <v>322</v>
      </c>
      <c r="C15" s="222" t="s">
        <v>530</v>
      </c>
      <c r="D15" s="5" t="s">
        <v>133</v>
      </c>
      <c r="E15" s="7">
        <v>1</v>
      </c>
      <c r="F15" s="15">
        <v>4279994.1400000006</v>
      </c>
      <c r="G15" s="7"/>
      <c r="H15" s="7"/>
      <c r="I15" s="7"/>
      <c r="J15" s="5"/>
      <c r="K15" s="15">
        <f t="shared" si="2"/>
        <v>4279994.1400000006</v>
      </c>
      <c r="L15" s="30">
        <v>12</v>
      </c>
      <c r="M15" s="5"/>
      <c r="N15" s="80">
        <v>2.6599999999999999E-2</v>
      </c>
      <c r="O15" s="18">
        <v>0.05</v>
      </c>
      <c r="P15" s="15">
        <v>0</v>
      </c>
      <c r="Q15" s="17">
        <v>225262.85</v>
      </c>
      <c r="R15" s="17">
        <v>112631.42475000001</v>
      </c>
      <c r="S15" s="17">
        <v>113847.84412400001</v>
      </c>
      <c r="T15" s="17">
        <f>+U15/12</f>
        <v>9487.3203436666681</v>
      </c>
      <c r="U15" s="17">
        <f t="shared" si="1"/>
        <v>113847.84412400001</v>
      </c>
      <c r="V15" s="17">
        <f t="shared" si="3"/>
        <v>565589.96299799997</v>
      </c>
      <c r="W15" s="57">
        <f t="shared" si="4"/>
        <v>3939667.0270020002</v>
      </c>
      <c r="X15" s="58">
        <f t="shared" si="5"/>
        <v>85385.883093000011</v>
      </c>
      <c r="Y15" s="58">
        <f t="shared" si="0"/>
        <v>3969345.4069070006</v>
      </c>
      <c r="Z15" s="15"/>
    </row>
    <row r="16" spans="1:26" x14ac:dyDescent="0.25">
      <c r="A16" s="153">
        <v>8</v>
      </c>
      <c r="B16" s="22"/>
      <c r="C16" s="222"/>
      <c r="D16" s="7" t="s">
        <v>298</v>
      </c>
      <c r="E16" s="7">
        <v>1</v>
      </c>
      <c r="F16" s="15">
        <v>0</v>
      </c>
      <c r="G16" s="7"/>
      <c r="H16" s="7"/>
      <c r="I16" s="7"/>
      <c r="J16" s="5"/>
      <c r="K16" s="15">
        <f t="shared" si="2"/>
        <v>0</v>
      </c>
      <c r="L16" s="30">
        <v>12</v>
      </c>
      <c r="M16" s="5"/>
      <c r="N16" s="80">
        <v>2.6599999999999999E-2</v>
      </c>
      <c r="O16" s="18">
        <v>0.05</v>
      </c>
      <c r="P16" s="15">
        <v>0</v>
      </c>
      <c r="Q16" s="17">
        <v>0</v>
      </c>
      <c r="R16" s="17">
        <v>0</v>
      </c>
      <c r="S16" s="17">
        <v>0</v>
      </c>
      <c r="T16" s="17">
        <f t="shared" si="6"/>
        <v>0</v>
      </c>
      <c r="U16" s="17">
        <f t="shared" si="1"/>
        <v>0</v>
      </c>
      <c r="V16" s="17">
        <f t="shared" si="3"/>
        <v>0</v>
      </c>
      <c r="W16" s="57">
        <f t="shared" si="4"/>
        <v>0</v>
      </c>
      <c r="X16" s="58">
        <f t="shared" si="5"/>
        <v>0</v>
      </c>
      <c r="Y16" s="58">
        <f t="shared" si="0"/>
        <v>0</v>
      </c>
      <c r="Z16" s="15"/>
    </row>
    <row r="17" spans="1:27" x14ac:dyDescent="0.25">
      <c r="A17" s="153">
        <v>9</v>
      </c>
      <c r="B17" s="22"/>
      <c r="C17" s="222"/>
      <c r="D17" s="7" t="s">
        <v>299</v>
      </c>
      <c r="E17" s="7">
        <v>1</v>
      </c>
      <c r="F17" s="15">
        <v>0</v>
      </c>
      <c r="G17" s="7"/>
      <c r="H17" s="7"/>
      <c r="I17" s="7"/>
      <c r="J17" s="5"/>
      <c r="K17" s="15">
        <f t="shared" si="2"/>
        <v>0</v>
      </c>
      <c r="L17" s="30">
        <v>12</v>
      </c>
      <c r="M17" s="5"/>
      <c r="N17" s="80">
        <v>2.6599999999999999E-2</v>
      </c>
      <c r="O17" s="18">
        <v>0.05</v>
      </c>
      <c r="P17" s="15">
        <v>0</v>
      </c>
      <c r="Q17" s="17">
        <v>0</v>
      </c>
      <c r="R17" s="17">
        <v>0</v>
      </c>
      <c r="S17" s="17">
        <v>0</v>
      </c>
      <c r="T17" s="17">
        <f t="shared" si="6"/>
        <v>0</v>
      </c>
      <c r="U17" s="17">
        <f t="shared" si="1"/>
        <v>0</v>
      </c>
      <c r="V17" s="17">
        <f t="shared" si="3"/>
        <v>0</v>
      </c>
      <c r="W17" s="57">
        <f t="shared" si="4"/>
        <v>0</v>
      </c>
      <c r="X17" s="58">
        <f t="shared" si="5"/>
        <v>0</v>
      </c>
      <c r="Y17" s="58">
        <f t="shared" si="0"/>
        <v>0</v>
      </c>
      <c r="Z17" s="15"/>
    </row>
    <row r="18" spans="1:27" x14ac:dyDescent="0.25">
      <c r="A18" s="153">
        <v>10</v>
      </c>
      <c r="B18" s="22" t="s">
        <v>323</v>
      </c>
      <c r="C18" s="222" t="s">
        <v>531</v>
      </c>
      <c r="D18" s="7" t="s">
        <v>235</v>
      </c>
      <c r="E18" s="7">
        <v>1</v>
      </c>
      <c r="F18" s="15">
        <v>12915675.090000002</v>
      </c>
      <c r="G18" s="7"/>
      <c r="H18" s="7"/>
      <c r="I18" s="7"/>
      <c r="J18" s="5"/>
      <c r="K18" s="15">
        <f t="shared" si="2"/>
        <v>12915675.090000002</v>
      </c>
      <c r="L18" s="30">
        <v>12</v>
      </c>
      <c r="M18" s="5"/>
      <c r="N18" s="80">
        <v>2.6599999999999999E-2</v>
      </c>
      <c r="O18" s="18">
        <v>0.05</v>
      </c>
      <c r="P18" s="15">
        <v>0</v>
      </c>
      <c r="Q18" s="17">
        <v>679772.37</v>
      </c>
      <c r="R18" s="17">
        <v>339886.18650000007</v>
      </c>
      <c r="S18" s="17">
        <v>343556.95739400003</v>
      </c>
      <c r="T18" s="17">
        <f t="shared" ref="T18:T23" si="7">+U18/12</f>
        <v>28629.746449500002</v>
      </c>
      <c r="U18" s="17">
        <f t="shared" si="1"/>
        <v>343556.95739400003</v>
      </c>
      <c r="V18" s="17">
        <f t="shared" si="3"/>
        <v>1706772.4712880002</v>
      </c>
      <c r="W18" s="57">
        <f t="shared" si="4"/>
        <v>11888674.988712002</v>
      </c>
      <c r="X18" s="58">
        <f t="shared" si="5"/>
        <v>257667.71804550002</v>
      </c>
      <c r="Y18" s="58">
        <f t="shared" si="0"/>
        <v>11978235.001954503</v>
      </c>
      <c r="Z18" s="15"/>
    </row>
    <row r="19" spans="1:27" x14ac:dyDescent="0.25">
      <c r="A19" s="153">
        <v>11</v>
      </c>
      <c r="B19" s="22" t="s">
        <v>324</v>
      </c>
      <c r="C19" s="222" t="s">
        <v>532</v>
      </c>
      <c r="D19" s="7" t="s">
        <v>134</v>
      </c>
      <c r="E19" s="7">
        <v>1</v>
      </c>
      <c r="F19" s="15">
        <v>346243.76</v>
      </c>
      <c r="G19" s="7"/>
      <c r="H19" s="7"/>
      <c r="I19" s="7"/>
      <c r="J19" s="5"/>
      <c r="K19" s="15">
        <f t="shared" si="2"/>
        <v>346243.76</v>
      </c>
      <c r="L19" s="30">
        <v>12</v>
      </c>
      <c r="M19" s="5"/>
      <c r="N19" s="80">
        <v>2.6599999999999999E-2</v>
      </c>
      <c r="O19" s="18">
        <v>0.05</v>
      </c>
      <c r="P19" s="15">
        <v>0</v>
      </c>
      <c r="Q19" s="17">
        <v>18223.36</v>
      </c>
      <c r="R19" s="17">
        <v>9111.6779999999999</v>
      </c>
      <c r="S19" s="17">
        <v>9210.0840159999989</v>
      </c>
      <c r="T19" s="17">
        <f t="shared" si="7"/>
        <v>767.50700133333328</v>
      </c>
      <c r="U19" s="17">
        <f t="shared" si="1"/>
        <v>9210.0840159999989</v>
      </c>
      <c r="V19" s="17">
        <f t="shared" si="3"/>
        <v>45755.206032000002</v>
      </c>
      <c r="W19" s="57">
        <f t="shared" si="4"/>
        <v>318711.91396800004</v>
      </c>
      <c r="X19" s="58">
        <f t="shared" si="5"/>
        <v>6907.5630119999996</v>
      </c>
      <c r="Y19" s="58">
        <f t="shared" si="0"/>
        <v>321112.83698800002</v>
      </c>
      <c r="Z19" s="15"/>
    </row>
    <row r="20" spans="1:27" x14ac:dyDescent="0.25">
      <c r="A20" s="153">
        <v>12</v>
      </c>
      <c r="B20" s="22" t="s">
        <v>325</v>
      </c>
      <c r="C20" s="222" t="s">
        <v>533</v>
      </c>
      <c r="D20" s="7" t="s">
        <v>135</v>
      </c>
      <c r="E20" s="7">
        <v>1</v>
      </c>
      <c r="F20" s="15">
        <v>3200019.85</v>
      </c>
      <c r="G20" s="7"/>
      <c r="H20" s="7"/>
      <c r="I20" s="7"/>
      <c r="J20" s="5"/>
      <c r="K20" s="15">
        <f t="shared" si="2"/>
        <v>3200019.85</v>
      </c>
      <c r="L20" s="30">
        <v>12</v>
      </c>
      <c r="M20" s="5"/>
      <c r="N20" s="80">
        <v>2.6599999999999999E-2</v>
      </c>
      <c r="O20" s="18">
        <v>0.05</v>
      </c>
      <c r="P20" s="15">
        <v>0</v>
      </c>
      <c r="Q20" s="17">
        <v>168422.1</v>
      </c>
      <c r="R20" s="17">
        <v>84211.048750000016</v>
      </c>
      <c r="S20" s="17">
        <v>85120.528009999995</v>
      </c>
      <c r="T20" s="17">
        <f t="shared" si="7"/>
        <v>7093.3773341666665</v>
      </c>
      <c r="U20" s="17">
        <f t="shared" si="1"/>
        <v>85120.528009999995</v>
      </c>
      <c r="V20" s="17">
        <f t="shared" si="3"/>
        <v>422874.20477000001</v>
      </c>
      <c r="W20" s="57">
        <f t="shared" si="4"/>
        <v>2945567.74523</v>
      </c>
      <c r="X20" s="58">
        <f t="shared" si="5"/>
        <v>63840.3960075</v>
      </c>
      <c r="Y20" s="58">
        <f t="shared" si="0"/>
        <v>2967757.3539924999</v>
      </c>
      <c r="Z20" s="15"/>
    </row>
    <row r="21" spans="1:27" x14ac:dyDescent="0.25">
      <c r="A21" s="153">
        <v>13</v>
      </c>
      <c r="B21" s="22" t="s">
        <v>326</v>
      </c>
      <c r="C21" s="222" t="s">
        <v>534</v>
      </c>
      <c r="D21" s="7" t="s">
        <v>136</v>
      </c>
      <c r="E21" s="7">
        <v>1</v>
      </c>
      <c r="F21" s="15">
        <v>5183141.04</v>
      </c>
      <c r="G21" s="7"/>
      <c r="H21" s="7"/>
      <c r="I21" s="7"/>
      <c r="J21" s="5"/>
      <c r="K21" s="15">
        <f t="shared" si="2"/>
        <v>5183141.04</v>
      </c>
      <c r="L21" s="30">
        <v>12</v>
      </c>
      <c r="M21" s="5"/>
      <c r="N21" s="80">
        <v>2.6599999999999999E-2</v>
      </c>
      <c r="O21" s="18">
        <v>0.05</v>
      </c>
      <c r="P21" s="15">
        <v>0</v>
      </c>
      <c r="Q21" s="17">
        <v>272796.90000000002</v>
      </c>
      <c r="R21" s="17">
        <v>136398.44850000003</v>
      </c>
      <c r="S21" s="17">
        <v>137871.551664</v>
      </c>
      <c r="T21" s="17">
        <f t="shared" si="7"/>
        <v>11489.295972</v>
      </c>
      <c r="U21" s="17">
        <f t="shared" si="1"/>
        <v>137871.551664</v>
      </c>
      <c r="V21" s="17">
        <f t="shared" si="3"/>
        <v>684938.45182800014</v>
      </c>
      <c r="W21" s="57">
        <f t="shared" si="4"/>
        <v>4770999.4881719993</v>
      </c>
      <c r="X21" s="58">
        <f t="shared" si="5"/>
        <v>103403.66374799999</v>
      </c>
      <c r="Y21" s="58">
        <f t="shared" si="0"/>
        <v>4806940.4762519998</v>
      </c>
      <c r="Z21" s="15"/>
      <c r="AA21" s="15"/>
    </row>
    <row r="22" spans="1:27" x14ac:dyDescent="0.25">
      <c r="A22" s="153">
        <v>14</v>
      </c>
      <c r="B22" s="22" t="s">
        <v>327</v>
      </c>
      <c r="C22" s="222" t="s">
        <v>535</v>
      </c>
      <c r="D22" s="7" t="s">
        <v>137</v>
      </c>
      <c r="E22" s="7">
        <v>1</v>
      </c>
      <c r="F22" s="15">
        <v>130528.57</v>
      </c>
      <c r="G22" s="7"/>
      <c r="H22" s="7"/>
      <c r="I22" s="7"/>
      <c r="J22" s="5"/>
      <c r="K22" s="15">
        <f t="shared" si="2"/>
        <v>130528.57</v>
      </c>
      <c r="L22" s="30">
        <v>12</v>
      </c>
      <c r="M22" s="5"/>
      <c r="N22" s="80">
        <v>2.6599999999999999E-2</v>
      </c>
      <c r="O22" s="18">
        <v>0.05</v>
      </c>
      <c r="P22" s="15">
        <v>0</v>
      </c>
      <c r="Q22" s="17">
        <v>6869.93</v>
      </c>
      <c r="R22" s="17">
        <v>3434.9625000000001</v>
      </c>
      <c r="S22" s="17">
        <v>3472.0599619999998</v>
      </c>
      <c r="T22" s="17">
        <f t="shared" si="7"/>
        <v>289.33833016666665</v>
      </c>
      <c r="U22" s="17">
        <f t="shared" si="1"/>
        <v>3472.0599619999998</v>
      </c>
      <c r="V22" s="17">
        <f t="shared" si="3"/>
        <v>17249.012424</v>
      </c>
      <c r="W22" s="57">
        <f t="shared" si="4"/>
        <v>120149.48757600001</v>
      </c>
      <c r="X22" s="58">
        <f t="shared" si="5"/>
        <v>2604.0449715</v>
      </c>
      <c r="Y22" s="58">
        <f t="shared" si="0"/>
        <v>121054.59502850001</v>
      </c>
      <c r="Z22" s="15"/>
    </row>
    <row r="23" spans="1:27" x14ac:dyDescent="0.25">
      <c r="A23" s="153">
        <v>15</v>
      </c>
      <c r="B23" s="22" t="s">
        <v>328</v>
      </c>
      <c r="C23" s="222" t="s">
        <v>536</v>
      </c>
      <c r="D23" s="7" t="s">
        <v>138</v>
      </c>
      <c r="E23" s="7">
        <v>1</v>
      </c>
      <c r="F23" s="15">
        <v>10610340</v>
      </c>
      <c r="G23" s="7"/>
      <c r="H23" s="7"/>
      <c r="I23" s="7"/>
      <c r="J23" s="5"/>
      <c r="K23" s="15">
        <f t="shared" si="2"/>
        <v>10610340</v>
      </c>
      <c r="L23" s="30">
        <v>12</v>
      </c>
      <c r="M23" s="5"/>
      <c r="N23" s="80">
        <v>2.6599999999999999E-2</v>
      </c>
      <c r="O23" s="18">
        <v>0.05</v>
      </c>
      <c r="P23" s="15">
        <v>0</v>
      </c>
      <c r="Q23" s="17">
        <v>558438.97000000009</v>
      </c>
      <c r="R23" s="17">
        <v>279219.47425000003</v>
      </c>
      <c r="S23" s="17">
        <v>282235.04399999999</v>
      </c>
      <c r="T23" s="17">
        <f t="shared" si="7"/>
        <v>23519.587</v>
      </c>
      <c r="U23" s="17">
        <f t="shared" si="1"/>
        <v>282235.04399999999</v>
      </c>
      <c r="V23" s="17">
        <f t="shared" si="3"/>
        <v>1402128.5322500002</v>
      </c>
      <c r="W23" s="57">
        <f t="shared" si="4"/>
        <v>9766650.4377500005</v>
      </c>
      <c r="X23" s="58">
        <f t="shared" si="5"/>
        <v>211676.283</v>
      </c>
      <c r="Y23" s="58">
        <f t="shared" si="0"/>
        <v>9840224.7469999995</v>
      </c>
      <c r="Z23" s="15"/>
    </row>
    <row r="24" spans="1:27" x14ac:dyDescent="0.25">
      <c r="A24" s="153">
        <v>16</v>
      </c>
      <c r="B24" s="22" t="s">
        <v>329</v>
      </c>
      <c r="C24" s="222"/>
      <c r="D24" s="7" t="s">
        <v>300</v>
      </c>
      <c r="E24" s="7">
        <v>1</v>
      </c>
      <c r="F24" s="15">
        <v>0</v>
      </c>
      <c r="G24" s="7"/>
      <c r="H24" s="7"/>
      <c r="I24" s="7"/>
      <c r="J24" s="5"/>
      <c r="K24" s="15">
        <f t="shared" si="2"/>
        <v>0</v>
      </c>
      <c r="L24" s="30">
        <v>12</v>
      </c>
      <c r="M24" s="5"/>
      <c r="N24" s="80">
        <v>2.6599999999999999E-2</v>
      </c>
      <c r="O24" s="18">
        <v>0.05</v>
      </c>
      <c r="P24" s="15">
        <v>0</v>
      </c>
      <c r="Q24" s="17">
        <v>0</v>
      </c>
      <c r="R24" s="17">
        <v>0</v>
      </c>
      <c r="S24" s="17">
        <v>0</v>
      </c>
      <c r="T24" s="17">
        <f t="shared" si="6"/>
        <v>0</v>
      </c>
      <c r="U24" s="17">
        <f t="shared" si="1"/>
        <v>0</v>
      </c>
      <c r="V24" s="17">
        <f t="shared" si="3"/>
        <v>0</v>
      </c>
      <c r="W24" s="57">
        <f t="shared" si="4"/>
        <v>0</v>
      </c>
      <c r="X24" s="58">
        <f t="shared" si="5"/>
        <v>0</v>
      </c>
      <c r="Y24" s="58">
        <f t="shared" si="0"/>
        <v>0</v>
      </c>
      <c r="Z24" s="15"/>
    </row>
    <row r="25" spans="1:27" x14ac:dyDescent="0.25">
      <c r="A25" s="153">
        <v>17</v>
      </c>
      <c r="B25" s="22" t="s">
        <v>330</v>
      </c>
      <c r="C25" s="222" t="s">
        <v>537</v>
      </c>
      <c r="D25" s="7" t="s">
        <v>139</v>
      </c>
      <c r="E25" s="7">
        <v>1</v>
      </c>
      <c r="F25" s="15">
        <v>11575267.840000002</v>
      </c>
      <c r="G25" s="7"/>
      <c r="H25" s="7"/>
      <c r="I25" s="7"/>
      <c r="J25" s="5"/>
      <c r="K25" s="15">
        <f>+F25+H25</f>
        <v>11575267.840000002</v>
      </c>
      <c r="L25" s="30">
        <v>12</v>
      </c>
      <c r="M25" s="5"/>
      <c r="N25" s="80">
        <v>2.6599999999999999E-2</v>
      </c>
      <c r="O25" s="18">
        <v>0.05</v>
      </c>
      <c r="P25" s="17">
        <v>0</v>
      </c>
      <c r="Q25" s="15">
        <v>609224.62</v>
      </c>
      <c r="R25" s="15">
        <v>304612.31150000001</v>
      </c>
      <c r="S25" s="15">
        <v>307902.12454400002</v>
      </c>
      <c r="T25" s="17">
        <f>+U25/12</f>
        <v>25658.51037866667</v>
      </c>
      <c r="U25" s="17">
        <f t="shared" si="1"/>
        <v>307902.12454400002</v>
      </c>
      <c r="V25" s="17">
        <f t="shared" si="3"/>
        <v>1529641.180588</v>
      </c>
      <c r="W25" s="57">
        <f t="shared" si="4"/>
        <v>10654851.279412001</v>
      </c>
      <c r="X25" s="58">
        <f t="shared" si="5"/>
        <v>230926.59340800002</v>
      </c>
      <c r="Y25" s="58">
        <f t="shared" si="0"/>
        <v>10735116.626592003</v>
      </c>
      <c r="Z25" s="15"/>
    </row>
    <row r="26" spans="1:27" ht="30" x14ac:dyDescent="0.25">
      <c r="A26" s="153">
        <v>18</v>
      </c>
      <c r="B26" s="22" t="s">
        <v>331</v>
      </c>
      <c r="C26" s="222" t="s">
        <v>538</v>
      </c>
      <c r="D26" s="72" t="s">
        <v>140</v>
      </c>
      <c r="E26" s="7"/>
      <c r="F26" s="17">
        <v>1010456.11</v>
      </c>
      <c r="G26" s="7"/>
      <c r="I26" s="7"/>
      <c r="J26" s="5"/>
      <c r="K26" s="15">
        <f t="shared" si="2"/>
        <v>1010456.11</v>
      </c>
      <c r="L26" s="30">
        <v>0</v>
      </c>
      <c r="M26" s="5"/>
      <c r="N26" s="80">
        <v>2.6599999999999999E-2</v>
      </c>
      <c r="O26" s="19">
        <v>0</v>
      </c>
      <c r="P26" s="17"/>
      <c r="Q26" s="21"/>
      <c r="R26" s="21">
        <v>25261.402750000001</v>
      </c>
      <c r="S26" s="21">
        <v>26878.132525999998</v>
      </c>
      <c r="T26" s="17">
        <f>+U26/12</f>
        <v>2239.8443771666666</v>
      </c>
      <c r="U26" s="17">
        <f t="shared" si="1"/>
        <v>26878.132525999998</v>
      </c>
      <c r="V26" s="17">
        <f t="shared" si="3"/>
        <v>79017.667801999996</v>
      </c>
      <c r="W26" s="57">
        <f t="shared" si="4"/>
        <v>931438.44219799992</v>
      </c>
      <c r="X26" s="58">
        <f t="shared" si="5"/>
        <v>20158.599394500001</v>
      </c>
      <c r="Y26" s="58">
        <f t="shared" si="0"/>
        <v>990297.51060549996</v>
      </c>
      <c r="Z26" s="15"/>
    </row>
    <row r="27" spans="1:27" s="25" customFormat="1" x14ac:dyDescent="0.25">
      <c r="A27" s="153">
        <v>19</v>
      </c>
      <c r="B27" s="22" t="s">
        <v>419</v>
      </c>
      <c r="C27" s="222" t="s">
        <v>800</v>
      </c>
      <c r="D27" s="72" t="s">
        <v>420</v>
      </c>
      <c r="E27" s="7"/>
      <c r="F27" s="17">
        <v>0</v>
      </c>
      <c r="G27" s="7"/>
      <c r="H27" s="17">
        <f>+'CEDAR 034'!K11+'CEDAR 034'!K25-511045.15+152132.96+19958.9+8099-1540357.54+5400+7853.66+405070.54+635233.88+535664-65280</f>
        <v>16861825.170000002</v>
      </c>
      <c r="I27" s="7"/>
      <c r="J27" s="5"/>
      <c r="K27" s="15">
        <f t="shared" si="2"/>
        <v>16861825.170000002</v>
      </c>
      <c r="L27" s="30">
        <v>11</v>
      </c>
      <c r="M27" s="5"/>
      <c r="N27" s="80">
        <v>0.02</v>
      </c>
      <c r="O27" s="19">
        <v>0</v>
      </c>
      <c r="P27" s="17">
        <v>0</v>
      </c>
      <c r="Q27" s="21">
        <v>0</v>
      </c>
      <c r="R27" s="21">
        <v>0</v>
      </c>
      <c r="S27" s="21">
        <v>309133.46145</v>
      </c>
      <c r="T27" s="17">
        <f>+U27/12</f>
        <v>28103.041950000003</v>
      </c>
      <c r="U27" s="17">
        <f t="shared" si="1"/>
        <v>337236.50340000005</v>
      </c>
      <c r="V27" s="17">
        <f t="shared" si="3"/>
        <v>646369.96485000011</v>
      </c>
      <c r="W27" s="57">
        <f t="shared" si="4"/>
        <v>16215455.205150003</v>
      </c>
      <c r="X27" s="105">
        <f t="shared" si="5"/>
        <v>252927.37755000003</v>
      </c>
      <c r="Y27" s="105">
        <f t="shared" si="0"/>
        <v>16608897.792450001</v>
      </c>
      <c r="Z27" s="68"/>
    </row>
    <row r="28" spans="1:27" s="25" customFormat="1" x14ac:dyDescent="0.25">
      <c r="A28" s="153"/>
      <c r="B28" s="22"/>
      <c r="C28" s="222"/>
      <c r="D28" s="72"/>
      <c r="E28" s="7"/>
      <c r="F28" s="17">
        <v>0</v>
      </c>
      <c r="G28" s="7"/>
      <c r="H28" s="2"/>
      <c r="I28" s="7"/>
      <c r="J28" s="5"/>
      <c r="K28" s="15"/>
      <c r="L28" s="30"/>
      <c r="M28" s="5"/>
      <c r="N28" s="80"/>
      <c r="O28" s="19"/>
      <c r="P28" s="17"/>
      <c r="Q28" s="21"/>
      <c r="R28" s="21">
        <v>0</v>
      </c>
      <c r="S28" s="21">
        <v>0</v>
      </c>
      <c r="T28" s="17">
        <f t="shared" si="6"/>
        <v>0</v>
      </c>
      <c r="U28" s="17">
        <f t="shared" si="1"/>
        <v>0</v>
      </c>
      <c r="V28" s="17">
        <f t="shared" si="3"/>
        <v>0</v>
      </c>
      <c r="W28" s="57">
        <f t="shared" si="4"/>
        <v>0</v>
      </c>
      <c r="X28" s="105">
        <f t="shared" si="5"/>
        <v>0</v>
      </c>
      <c r="Y28" s="105">
        <f t="shared" si="0"/>
        <v>0</v>
      </c>
      <c r="Z28" s="68"/>
    </row>
    <row r="29" spans="1:27" s="25" customFormat="1" ht="15.75" thickBot="1" x14ac:dyDescent="0.3">
      <c r="A29" s="153"/>
      <c r="B29" s="22"/>
      <c r="C29" s="222"/>
      <c r="D29" s="72"/>
      <c r="E29" s="7"/>
      <c r="F29" s="17">
        <v>0</v>
      </c>
      <c r="G29" s="7"/>
      <c r="H29" s="2"/>
      <c r="I29" s="7"/>
      <c r="J29" s="5"/>
      <c r="K29" s="15"/>
      <c r="L29" s="30"/>
      <c r="M29" s="5"/>
      <c r="N29" s="80"/>
      <c r="O29" s="19"/>
      <c r="P29" s="17"/>
      <c r="Q29" s="21"/>
      <c r="R29" s="21">
        <v>0</v>
      </c>
      <c r="S29" s="21">
        <v>0</v>
      </c>
      <c r="T29" s="17">
        <f t="shared" si="6"/>
        <v>0</v>
      </c>
      <c r="U29" s="17">
        <f t="shared" si="1"/>
        <v>0</v>
      </c>
      <c r="V29" s="17">
        <f t="shared" si="3"/>
        <v>0</v>
      </c>
      <c r="W29" s="57">
        <f t="shared" si="4"/>
        <v>0</v>
      </c>
      <c r="X29" s="105">
        <f t="shared" si="5"/>
        <v>0</v>
      </c>
      <c r="Y29" s="105">
        <f t="shared" si="0"/>
        <v>0</v>
      </c>
      <c r="Z29" s="68"/>
    </row>
    <row r="30" spans="1:27" s="71" customFormat="1" ht="16.5" thickTop="1" thickBot="1" x14ac:dyDescent="0.3">
      <c r="A30" s="307" t="s">
        <v>12</v>
      </c>
      <c r="B30" s="307"/>
      <c r="C30" s="307"/>
      <c r="D30" s="307"/>
      <c r="E30" s="307"/>
      <c r="F30" s="132">
        <f>SUM(F10:F29)</f>
        <v>60333421.879000016</v>
      </c>
      <c r="G30" s="132"/>
      <c r="H30" s="132">
        <f>SUM(H10:H29)</f>
        <v>17191520.040000003</v>
      </c>
      <c r="I30" s="132">
        <f t="shared" ref="I30:P30" si="8">SUM(I10:I29)</f>
        <v>0</v>
      </c>
      <c r="J30" s="132">
        <f t="shared" si="8"/>
        <v>0</v>
      </c>
      <c r="K30" s="133">
        <f>SUM(K10:K29)</f>
        <v>77524941.919000015</v>
      </c>
      <c r="L30" s="134"/>
      <c r="M30" s="134"/>
      <c r="N30" s="134"/>
      <c r="O30" s="134"/>
      <c r="P30" s="132">
        <f t="shared" si="8"/>
        <v>509650.63000000006</v>
      </c>
      <c r="Q30" s="132">
        <f t="shared" ref="Q30:W30" si="9">SUM(Q10:Q29)</f>
        <v>2688702.4010000001</v>
      </c>
      <c r="R30" s="132">
        <f t="shared" si="9"/>
        <v>1332189.7627500002</v>
      </c>
      <c r="S30" s="132">
        <f>SUM(S10:S29)</f>
        <v>1812243.5850580668</v>
      </c>
      <c r="T30" s="132">
        <f t="shared" si="9"/>
        <v>156423.63970145001</v>
      </c>
      <c r="U30" s="133">
        <f>SUM(U10:U29)</f>
        <v>1877083.6764174001</v>
      </c>
      <c r="V30" s="133">
        <f t="shared" si="9"/>
        <v>8219870.0552254682</v>
      </c>
      <c r="W30" s="133">
        <f t="shared" si="9"/>
        <v>72503424.894774541</v>
      </c>
      <c r="X30" s="132">
        <f t="shared" ref="X30" si="10">SUM(X10:X29)</f>
        <v>1407812.7573130501</v>
      </c>
      <c r="Y30" s="132">
        <f t="shared" ref="Y30" si="11">SUM(Y10:Y29)</f>
        <v>72918776.130686954</v>
      </c>
    </row>
    <row r="31" spans="1:27" ht="16.5" thickTop="1" thickBot="1" x14ac:dyDescent="0.3">
      <c r="A31" s="308" t="s">
        <v>345</v>
      </c>
      <c r="B31" s="309"/>
      <c r="C31" s="309"/>
      <c r="D31" s="309"/>
      <c r="E31" s="309"/>
      <c r="F31" s="135">
        <f>+F30</f>
        <v>60333421.879000016</v>
      </c>
      <c r="G31" s="135"/>
      <c r="H31" s="135">
        <f>+H30</f>
        <v>17191520.040000003</v>
      </c>
      <c r="I31" s="135"/>
      <c r="J31" s="135"/>
      <c r="K31" s="135">
        <f>+K30</f>
        <v>77524941.919000015</v>
      </c>
      <c r="L31" s="136"/>
      <c r="M31" s="136"/>
      <c r="N31" s="136"/>
      <c r="O31" s="136"/>
      <c r="P31" s="135">
        <f>P30</f>
        <v>509650.63000000006</v>
      </c>
      <c r="Q31" s="135">
        <f>Q30</f>
        <v>2688702.4010000001</v>
      </c>
      <c r="R31" s="135">
        <f>+R30</f>
        <v>1332189.7627500002</v>
      </c>
      <c r="S31" s="135"/>
      <c r="T31" s="135"/>
      <c r="U31" s="135"/>
      <c r="V31" s="135">
        <f>+V30</f>
        <v>8219870.0552254682</v>
      </c>
      <c r="W31" s="137">
        <f>+W30</f>
        <v>72503424.894774541</v>
      </c>
    </row>
    <row r="32" spans="1:27" ht="16.5" thickTop="1" thickBot="1" x14ac:dyDescent="0.3">
      <c r="A32" s="310" t="s">
        <v>291</v>
      </c>
      <c r="B32" s="311"/>
      <c r="C32" s="311"/>
      <c r="D32" s="311"/>
      <c r="E32" s="312"/>
      <c r="F32" s="138">
        <f>+F30-F31</f>
        <v>0</v>
      </c>
      <c r="G32" s="139"/>
      <c r="H32" s="138">
        <f>+H30-H31</f>
        <v>0</v>
      </c>
      <c r="I32" s="139"/>
      <c r="J32" s="139"/>
      <c r="K32" s="138">
        <f>+K30-K31</f>
        <v>0</v>
      </c>
      <c r="L32" s="313"/>
      <c r="M32" s="314"/>
      <c r="N32" s="314"/>
      <c r="O32" s="315"/>
      <c r="P32" s="138">
        <f>+P30-P31</f>
        <v>0</v>
      </c>
      <c r="Q32" s="138">
        <f>+Q30-Q31</f>
        <v>0</v>
      </c>
      <c r="R32" s="138">
        <f>+R30-R31</f>
        <v>0</v>
      </c>
      <c r="S32" s="138"/>
      <c r="T32" s="139"/>
      <c r="U32" s="139"/>
      <c r="V32" s="138">
        <f>+V30-V31</f>
        <v>0</v>
      </c>
      <c r="W32" s="138">
        <f>+W30-W31</f>
        <v>0</v>
      </c>
      <c r="Y32" s="15"/>
    </row>
    <row r="33" spans="1:23" ht="15.75" thickTop="1" x14ac:dyDescent="0.25">
      <c r="A33" s="141"/>
      <c r="Q33" s="15"/>
      <c r="R33" s="15"/>
      <c r="S33" s="15"/>
      <c r="W33" s="15"/>
    </row>
    <row r="34" spans="1:23" hidden="1" x14ac:dyDescent="0.25">
      <c r="E34" s="299" t="s">
        <v>456</v>
      </c>
      <c r="F34" s="299"/>
      <c r="H34" s="125" t="s">
        <v>451</v>
      </c>
      <c r="J34" s="125"/>
      <c r="U34" s="15"/>
      <c r="V34" s="15"/>
      <c r="W34" s="15"/>
    </row>
    <row r="35" spans="1:23" hidden="1" x14ac:dyDescent="0.25">
      <c r="D35" s="125" t="s">
        <v>451</v>
      </c>
      <c r="E35" s="65" t="s">
        <v>452</v>
      </c>
      <c r="F35" s="15">
        <f>80458880.08-H30</f>
        <v>63267360.039999992</v>
      </c>
      <c r="G35" s="65" t="s">
        <v>452</v>
      </c>
      <c r="H35" s="15">
        <v>80458880.079999998</v>
      </c>
      <c r="J35" s="15"/>
      <c r="K35" s="15"/>
      <c r="Q35" s="15"/>
      <c r="R35" s="15"/>
      <c r="S35" s="15"/>
      <c r="U35" s="148"/>
    </row>
    <row r="36" spans="1:23" hidden="1" x14ac:dyDescent="0.25">
      <c r="E36" s="65" t="s">
        <v>453</v>
      </c>
      <c r="F36" s="15">
        <v>4530542.79</v>
      </c>
      <c r="G36" s="65" t="s">
        <v>453</v>
      </c>
      <c r="H36" s="15">
        <v>4530542.79</v>
      </c>
      <c r="P36" s="15"/>
      <c r="Q36" s="148"/>
      <c r="R36" s="148"/>
      <c r="S36" s="148"/>
      <c r="T36" s="15"/>
      <c r="U36" s="15"/>
    </row>
    <row r="37" spans="1:23" ht="45" hidden="1" x14ac:dyDescent="0.25">
      <c r="A37" s="179"/>
      <c r="E37" s="184" t="s">
        <v>455</v>
      </c>
      <c r="F37" s="15">
        <f>+R30</f>
        <v>1332189.7627500002</v>
      </c>
      <c r="G37" s="184" t="s">
        <v>457</v>
      </c>
      <c r="H37" s="15">
        <f>+U30</f>
        <v>1877083.6764174001</v>
      </c>
      <c r="P37" s="15"/>
      <c r="Q37" s="148"/>
      <c r="R37" s="148"/>
      <c r="S37" s="148"/>
      <c r="T37" s="15"/>
      <c r="U37" s="15"/>
    </row>
    <row r="38" spans="1:23" hidden="1" x14ac:dyDescent="0.25">
      <c r="E38" s="65" t="s">
        <v>283</v>
      </c>
      <c r="F38" s="15">
        <f>+F35-F36+F37</f>
        <v>60069007.012749992</v>
      </c>
      <c r="G38" s="125" t="s">
        <v>454</v>
      </c>
      <c r="H38" s="143">
        <f>+H35-H36-H37-W30</f>
        <v>1547828.7188080549</v>
      </c>
      <c r="P38" s="15"/>
      <c r="Q38" s="148"/>
      <c r="R38" s="148"/>
      <c r="S38" s="148"/>
      <c r="T38" s="15"/>
    </row>
    <row r="39" spans="1:23" hidden="1" x14ac:dyDescent="0.25">
      <c r="E39" s="183" t="s">
        <v>454</v>
      </c>
      <c r="F39" s="143">
        <f>+F30-F38</f>
        <v>264414.86625002325</v>
      </c>
      <c r="P39" s="148"/>
      <c r="T39" s="148"/>
    </row>
    <row r="40" spans="1:23" x14ac:dyDescent="0.25">
      <c r="E40" s="65"/>
      <c r="V40" s="15"/>
    </row>
    <row r="41" spans="1:23" x14ac:dyDescent="0.25">
      <c r="E41" s="33"/>
    </row>
  </sheetData>
  <mergeCells count="30">
    <mergeCell ref="E34:F34"/>
    <mergeCell ref="A30:E30"/>
    <mergeCell ref="A31:E31"/>
    <mergeCell ref="A32:E32"/>
    <mergeCell ref="L32:O32"/>
    <mergeCell ref="X6:X8"/>
    <mergeCell ref="R7:R8"/>
    <mergeCell ref="M6:O7"/>
    <mergeCell ref="Y6:Y8"/>
    <mergeCell ref="J6:J8"/>
    <mergeCell ref="K6:K8"/>
    <mergeCell ref="L6:L8"/>
    <mergeCell ref="P6:V6"/>
    <mergeCell ref="P7:P8"/>
    <mergeCell ref="V7:V8"/>
    <mergeCell ref="Q7:Q8"/>
    <mergeCell ref="T7:T8"/>
    <mergeCell ref="U7:U8"/>
    <mergeCell ref="A3:W3"/>
    <mergeCell ref="A4:W4"/>
    <mergeCell ref="A6:A8"/>
    <mergeCell ref="B6:B8"/>
    <mergeCell ref="D6:D8"/>
    <mergeCell ref="E6:E8"/>
    <mergeCell ref="F6:F8"/>
    <mergeCell ref="G6:H7"/>
    <mergeCell ref="I6:I8"/>
    <mergeCell ref="W6:W8"/>
    <mergeCell ref="C6:C8"/>
    <mergeCell ref="S7:S8"/>
  </mergeCells>
  <pageMargins left="0.25" right="0.25" top="0.75" bottom="0.75" header="0.3" footer="0.3"/>
  <pageSetup paperSize="9" scale="47" fitToHeight="0" orientation="landscape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AA77"/>
  <sheetViews>
    <sheetView topLeftCell="F33" zoomScaleNormal="100" workbookViewId="0">
      <selection activeCell="P17" sqref="P17"/>
    </sheetView>
  </sheetViews>
  <sheetFormatPr defaultColWidth="9.140625" defaultRowHeight="15" x14ac:dyDescent="0.25"/>
  <cols>
    <col min="1" max="1" width="17.5703125" style="164" customWidth="1"/>
    <col min="2" max="2" width="7.28515625" style="2" customWidth="1"/>
    <col min="3" max="3" width="15" style="2" bestFit="1" customWidth="1"/>
    <col min="4" max="4" width="23.7109375" style="2" customWidth="1"/>
    <col min="5" max="5" width="27.5703125" style="2" bestFit="1" customWidth="1"/>
    <col min="6" max="6" width="17.28515625" style="2" customWidth="1"/>
    <col min="7" max="7" width="13.85546875" style="2" bestFit="1" customWidth="1"/>
    <col min="8" max="8" width="14" style="2" customWidth="1"/>
    <col min="9" max="10" width="7.42578125" style="2" customWidth="1"/>
    <col min="11" max="11" width="14.42578125" style="2" customWidth="1"/>
    <col min="12" max="13" width="11.28515625" style="2" customWidth="1"/>
    <col min="14" max="14" width="8.42578125" style="2" customWidth="1"/>
    <col min="15" max="15" width="8.140625" style="2" customWidth="1"/>
    <col min="16" max="16" width="14.85546875" style="2" bestFit="1" customWidth="1"/>
    <col min="17" max="17" width="13.7109375" style="2" bestFit="1" customWidth="1"/>
    <col min="18" max="20" width="13.7109375" style="2" customWidth="1"/>
    <col min="21" max="21" width="18" style="2" bestFit="1" customWidth="1"/>
    <col min="22" max="22" width="14.85546875" style="2" bestFit="1" customWidth="1"/>
    <col min="23" max="23" width="17" style="2" bestFit="1" customWidth="1"/>
    <col min="24" max="24" width="16.7109375" style="2" hidden="1" customWidth="1"/>
    <col min="25" max="25" width="15.28515625" style="2" hidden="1" customWidth="1"/>
    <col min="26" max="26" width="13.5703125" style="2" bestFit="1" customWidth="1"/>
    <col min="27" max="27" width="10.85546875" style="2" bestFit="1" customWidth="1"/>
    <col min="28" max="16384" width="9.140625" style="2"/>
  </cols>
  <sheetData>
    <row r="1" spans="1:26" x14ac:dyDescent="0.25">
      <c r="A1" s="172" t="s">
        <v>359</v>
      </c>
    </row>
    <row r="3" spans="1:26" x14ac:dyDescent="0.25">
      <c r="A3" s="299" t="s">
        <v>864</v>
      </c>
      <c r="B3" s="299"/>
      <c r="C3" s="299"/>
      <c r="D3" s="299"/>
      <c r="E3" s="299"/>
      <c r="F3" s="299"/>
      <c r="G3" s="299"/>
      <c r="H3" s="299"/>
      <c r="I3" s="299"/>
      <c r="J3" s="299"/>
      <c r="K3" s="299"/>
      <c r="L3" s="299"/>
      <c r="M3" s="299"/>
      <c r="N3" s="299"/>
      <c r="O3" s="299"/>
      <c r="P3" s="299"/>
      <c r="Q3" s="299"/>
      <c r="R3" s="299"/>
      <c r="S3" s="299"/>
      <c r="T3" s="299"/>
      <c r="U3" s="299"/>
      <c r="V3" s="299"/>
      <c r="W3" s="299"/>
    </row>
    <row r="4" spans="1:26" x14ac:dyDescent="0.25">
      <c r="A4" s="300" t="s">
        <v>346</v>
      </c>
      <c r="B4" s="300"/>
      <c r="C4" s="300"/>
      <c r="D4" s="300"/>
      <c r="E4" s="300"/>
      <c r="F4" s="300"/>
      <c r="G4" s="300"/>
      <c r="H4" s="300"/>
      <c r="I4" s="300"/>
      <c r="J4" s="300"/>
      <c r="K4" s="300"/>
      <c r="L4" s="300"/>
      <c r="M4" s="300"/>
      <c r="N4" s="300"/>
      <c r="O4" s="300"/>
      <c r="P4" s="300"/>
      <c r="Q4" s="300"/>
      <c r="R4" s="300"/>
      <c r="S4" s="300"/>
      <c r="T4" s="300"/>
      <c r="U4" s="300"/>
      <c r="V4" s="300"/>
      <c r="W4" s="300"/>
    </row>
    <row r="5" spans="1:26" ht="15.75" thickBot="1" x14ac:dyDescent="0.3">
      <c r="A5" s="165"/>
    </row>
    <row r="6" spans="1:26" ht="16.5" customHeight="1" thickTop="1" thickBot="1" x14ac:dyDescent="0.3">
      <c r="A6" s="283" t="s">
        <v>0</v>
      </c>
      <c r="B6" s="283" t="s">
        <v>332</v>
      </c>
      <c r="C6" s="283" t="s">
        <v>524</v>
      </c>
      <c r="D6" s="283" t="s">
        <v>1</v>
      </c>
      <c r="E6" s="283" t="s">
        <v>7</v>
      </c>
      <c r="F6" s="283" t="s">
        <v>414</v>
      </c>
      <c r="G6" s="284" t="s">
        <v>523</v>
      </c>
      <c r="H6" s="284"/>
      <c r="I6" s="283" t="s">
        <v>18</v>
      </c>
      <c r="J6" s="283" t="s">
        <v>19</v>
      </c>
      <c r="K6" s="284" t="s">
        <v>408</v>
      </c>
      <c r="L6" s="283" t="s">
        <v>4</v>
      </c>
      <c r="M6" s="301" t="s">
        <v>5</v>
      </c>
      <c r="N6" s="302"/>
      <c r="O6" s="303"/>
      <c r="P6" s="283" t="s">
        <v>8</v>
      </c>
      <c r="Q6" s="283"/>
      <c r="R6" s="283"/>
      <c r="S6" s="283"/>
      <c r="T6" s="283"/>
      <c r="U6" s="283"/>
      <c r="V6" s="283"/>
      <c r="W6" s="285" t="s">
        <v>868</v>
      </c>
      <c r="X6" s="285" t="s">
        <v>260</v>
      </c>
      <c r="Y6" s="285" t="s">
        <v>261</v>
      </c>
    </row>
    <row r="7" spans="1:26" ht="25.5" customHeight="1" thickTop="1" thickBot="1" x14ac:dyDescent="0.3">
      <c r="A7" s="283"/>
      <c r="B7" s="283"/>
      <c r="C7" s="283"/>
      <c r="D7" s="283"/>
      <c r="E7" s="283"/>
      <c r="F7" s="283"/>
      <c r="G7" s="284"/>
      <c r="H7" s="284"/>
      <c r="I7" s="283"/>
      <c r="J7" s="283"/>
      <c r="K7" s="284"/>
      <c r="L7" s="283"/>
      <c r="M7" s="304"/>
      <c r="N7" s="305"/>
      <c r="O7" s="306"/>
      <c r="P7" s="283" t="s">
        <v>6</v>
      </c>
      <c r="Q7" s="291" t="s">
        <v>254</v>
      </c>
      <c r="R7" s="291" t="s">
        <v>410</v>
      </c>
      <c r="S7" s="291" t="s">
        <v>865</v>
      </c>
      <c r="T7" s="285" t="s">
        <v>866</v>
      </c>
      <c r="U7" s="285" t="s">
        <v>870</v>
      </c>
      <c r="V7" s="283" t="s">
        <v>265</v>
      </c>
      <c r="W7" s="286"/>
      <c r="X7" s="286"/>
      <c r="Y7" s="286"/>
    </row>
    <row r="8" spans="1:26" ht="44.25" customHeight="1" thickTop="1" thickBot="1" x14ac:dyDescent="0.3">
      <c r="A8" s="283"/>
      <c r="B8" s="283"/>
      <c r="C8" s="283"/>
      <c r="D8" s="283"/>
      <c r="E8" s="283"/>
      <c r="F8" s="283"/>
      <c r="G8" s="154" t="s">
        <v>2</v>
      </c>
      <c r="H8" s="154" t="s">
        <v>3</v>
      </c>
      <c r="I8" s="283"/>
      <c r="J8" s="283"/>
      <c r="K8" s="284"/>
      <c r="L8" s="283"/>
      <c r="M8" s="163" t="s">
        <v>425</v>
      </c>
      <c r="N8" s="154" t="s">
        <v>256</v>
      </c>
      <c r="O8" s="154" t="s">
        <v>255</v>
      </c>
      <c r="P8" s="283"/>
      <c r="Q8" s="292"/>
      <c r="R8" s="292"/>
      <c r="S8" s="292"/>
      <c r="T8" s="287"/>
      <c r="U8" s="287"/>
      <c r="V8" s="283"/>
      <c r="W8" s="287"/>
      <c r="X8" s="287"/>
      <c r="Y8" s="287"/>
    </row>
    <row r="9" spans="1:26" ht="16.5" thickTop="1" thickBot="1" x14ac:dyDescent="0.3">
      <c r="A9" s="74">
        <v>1</v>
      </c>
      <c r="B9" s="74">
        <v>2</v>
      </c>
      <c r="C9" s="74">
        <v>3</v>
      </c>
      <c r="D9" s="74">
        <v>4</v>
      </c>
      <c r="E9" s="74">
        <v>5</v>
      </c>
      <c r="F9" s="74">
        <v>6</v>
      </c>
      <c r="G9" s="74">
        <v>7</v>
      </c>
      <c r="H9" s="74">
        <v>8</v>
      </c>
      <c r="I9" s="74">
        <v>9</v>
      </c>
      <c r="J9" s="74">
        <v>10</v>
      </c>
      <c r="K9" s="74">
        <v>11</v>
      </c>
      <c r="L9" s="74">
        <v>12</v>
      </c>
      <c r="M9" s="74">
        <v>13</v>
      </c>
      <c r="N9" s="74">
        <v>14</v>
      </c>
      <c r="O9" s="74">
        <v>15</v>
      </c>
      <c r="P9" s="74">
        <v>16</v>
      </c>
      <c r="Q9" s="74">
        <v>17</v>
      </c>
      <c r="R9" s="74">
        <v>18</v>
      </c>
      <c r="S9" s="74">
        <v>19</v>
      </c>
      <c r="T9" s="74">
        <v>20</v>
      </c>
      <c r="U9" s="74">
        <v>21</v>
      </c>
      <c r="V9" s="74">
        <v>22</v>
      </c>
      <c r="W9" s="74">
        <v>23</v>
      </c>
      <c r="X9" s="74">
        <v>20</v>
      </c>
      <c r="Y9" s="74">
        <v>21</v>
      </c>
    </row>
    <row r="10" spans="1:26" ht="15.75" thickTop="1" x14ac:dyDescent="0.25">
      <c r="A10" s="174">
        <v>1</v>
      </c>
      <c r="B10" s="23" t="s">
        <v>318</v>
      </c>
      <c r="C10" s="221" t="s">
        <v>539</v>
      </c>
      <c r="D10" s="24" t="s">
        <v>95</v>
      </c>
      <c r="E10" s="6">
        <v>1</v>
      </c>
      <c r="F10" s="14">
        <v>0</v>
      </c>
      <c r="G10" s="16"/>
      <c r="H10" s="16"/>
      <c r="I10" s="16"/>
      <c r="J10" s="20"/>
      <c r="K10" s="14">
        <f>+F10+H10</f>
        <v>0</v>
      </c>
      <c r="L10" s="97">
        <v>12</v>
      </c>
      <c r="M10" s="175"/>
      <c r="N10" s="80">
        <v>4.1000000000000002E-2</v>
      </c>
      <c r="O10" s="10">
        <v>0.5</v>
      </c>
      <c r="P10" s="14">
        <v>490967.69</v>
      </c>
      <c r="Q10" s="16">
        <v>0</v>
      </c>
      <c r="R10" s="16">
        <v>0</v>
      </c>
      <c r="S10" s="16">
        <v>0</v>
      </c>
      <c r="T10" s="16">
        <v>0</v>
      </c>
      <c r="U10" s="16">
        <v>0</v>
      </c>
      <c r="V10" s="16">
        <f>+P10+Q10+R10+U10</f>
        <v>490967.69</v>
      </c>
      <c r="W10" s="109">
        <f>+K10-R10-S10-U10</f>
        <v>0</v>
      </c>
      <c r="X10" s="156">
        <f>+T10*9</f>
        <v>0</v>
      </c>
      <c r="Y10" s="77">
        <f t="shared" ref="Y10:Y55" si="0">+K10-P10-Q10-X10</f>
        <v>-490967.69</v>
      </c>
    </row>
    <row r="11" spans="1:26" x14ac:dyDescent="0.25">
      <c r="A11" s="153">
        <v>2</v>
      </c>
      <c r="B11" s="22" t="s">
        <v>318</v>
      </c>
      <c r="C11" s="222" t="s">
        <v>540</v>
      </c>
      <c r="D11" s="5" t="s">
        <v>96</v>
      </c>
      <c r="E11" s="7">
        <v>1</v>
      </c>
      <c r="F11" s="15">
        <v>0</v>
      </c>
      <c r="G11" s="17"/>
      <c r="H11" s="17"/>
      <c r="I11" s="17"/>
      <c r="J11" s="21"/>
      <c r="K11" s="15">
        <f>+F11+H11</f>
        <v>0</v>
      </c>
      <c r="L11" s="98">
        <v>12</v>
      </c>
      <c r="M11" s="175"/>
      <c r="N11" s="80">
        <v>4.1000000000000002E-2</v>
      </c>
      <c r="O11" s="18">
        <v>0.5</v>
      </c>
      <c r="P11" s="15">
        <v>63600</v>
      </c>
      <c r="Q11" s="17">
        <v>0</v>
      </c>
      <c r="R11" s="17">
        <v>0</v>
      </c>
      <c r="S11" s="17">
        <v>0</v>
      </c>
      <c r="T11" s="17">
        <v>0</v>
      </c>
      <c r="U11" s="17">
        <v>0</v>
      </c>
      <c r="V11" s="17">
        <f>+P11+Q11+R11+U11</f>
        <v>63600</v>
      </c>
      <c r="W11" s="58">
        <f>+K11-R11-S11-U11</f>
        <v>0</v>
      </c>
      <c r="X11" s="157">
        <f>+T11*9</f>
        <v>0</v>
      </c>
      <c r="Y11" s="75">
        <f t="shared" si="0"/>
        <v>-63600</v>
      </c>
    </row>
    <row r="12" spans="1:26" x14ac:dyDescent="0.25">
      <c r="A12" s="153">
        <v>3</v>
      </c>
      <c r="B12" s="22" t="s">
        <v>318</v>
      </c>
      <c r="C12" s="222" t="s">
        <v>541</v>
      </c>
      <c r="D12" s="5" t="s">
        <v>97</v>
      </c>
      <c r="E12" s="7">
        <v>1</v>
      </c>
      <c r="F12" s="15">
        <v>329640</v>
      </c>
      <c r="G12" s="17"/>
      <c r="H12" s="17"/>
      <c r="I12" s="17"/>
      <c r="J12" s="21"/>
      <c r="K12" s="15">
        <f t="shared" ref="K12:K61" si="1">+F12+H12</f>
        <v>329640</v>
      </c>
      <c r="L12" s="98">
        <v>12</v>
      </c>
      <c r="M12" s="175"/>
      <c r="N12" s="80">
        <v>4.1000000000000002E-2</v>
      </c>
      <c r="O12" s="18">
        <v>0</v>
      </c>
      <c r="P12" s="15">
        <v>0</v>
      </c>
      <c r="Q12" s="17">
        <v>0</v>
      </c>
      <c r="R12" s="17">
        <v>0</v>
      </c>
      <c r="S12" s="17">
        <v>0</v>
      </c>
      <c r="T12" s="17">
        <f t="shared" ref="T12:T49" si="2">+U12/12</f>
        <v>0</v>
      </c>
      <c r="U12" s="17">
        <v>0</v>
      </c>
      <c r="V12" s="17">
        <f t="shared" ref="V12:V55" si="3">+P12+Q12+R12+U12</f>
        <v>0</v>
      </c>
      <c r="W12" s="58">
        <f t="shared" ref="W12:W60" si="4">+K12-R12-S12-U12</f>
        <v>329640</v>
      </c>
      <c r="X12" s="157">
        <f t="shared" ref="X12:X50" si="5">+T12*9</f>
        <v>0</v>
      </c>
      <c r="Y12" s="75">
        <f t="shared" si="0"/>
        <v>329640</v>
      </c>
    </row>
    <row r="13" spans="1:26" x14ac:dyDescent="0.25">
      <c r="A13" s="153">
        <v>4</v>
      </c>
      <c r="B13" s="22" t="s">
        <v>318</v>
      </c>
      <c r="C13" s="222" t="s">
        <v>542</v>
      </c>
      <c r="D13" s="5" t="s">
        <v>98</v>
      </c>
      <c r="E13" s="7">
        <v>1</v>
      </c>
      <c r="F13" s="15">
        <v>0</v>
      </c>
      <c r="G13" s="17"/>
      <c r="H13" s="17"/>
      <c r="I13" s="17"/>
      <c r="J13" s="21"/>
      <c r="K13" s="15">
        <f t="shared" si="1"/>
        <v>0</v>
      </c>
      <c r="L13" s="98">
        <v>12</v>
      </c>
      <c r="M13" s="175"/>
      <c r="N13" s="80">
        <v>4.1000000000000002E-2</v>
      </c>
      <c r="O13" s="18">
        <v>0.25</v>
      </c>
      <c r="P13" s="15">
        <v>886715.23</v>
      </c>
      <c r="Q13" s="17">
        <v>0</v>
      </c>
      <c r="R13" s="17">
        <v>0</v>
      </c>
      <c r="S13" s="17">
        <v>0</v>
      </c>
      <c r="T13" s="17">
        <v>0</v>
      </c>
      <c r="U13" s="17">
        <v>0</v>
      </c>
      <c r="V13" s="17">
        <f t="shared" si="3"/>
        <v>886715.23</v>
      </c>
      <c r="W13" s="58">
        <f t="shared" si="4"/>
        <v>0</v>
      </c>
      <c r="X13" s="157">
        <f t="shared" si="5"/>
        <v>0</v>
      </c>
      <c r="Y13" s="75">
        <f t="shared" si="0"/>
        <v>-886715.23</v>
      </c>
    </row>
    <row r="14" spans="1:26" x14ac:dyDescent="0.25">
      <c r="A14" s="153">
        <v>5</v>
      </c>
      <c r="B14" s="22" t="s">
        <v>318</v>
      </c>
      <c r="C14" s="222" t="s">
        <v>543</v>
      </c>
      <c r="D14" s="5" t="s">
        <v>99</v>
      </c>
      <c r="E14" s="7">
        <v>1</v>
      </c>
      <c r="F14" s="15">
        <v>0</v>
      </c>
      <c r="G14" s="17"/>
      <c r="H14" s="17"/>
      <c r="I14" s="17"/>
      <c r="J14" s="21"/>
      <c r="K14" s="15">
        <f t="shared" si="1"/>
        <v>0</v>
      </c>
      <c r="L14" s="98">
        <v>12</v>
      </c>
      <c r="M14" s="175"/>
      <c r="N14" s="80">
        <v>4.1000000000000002E-2</v>
      </c>
      <c r="O14" s="18">
        <v>0.25</v>
      </c>
      <c r="P14" s="15">
        <v>131866.09</v>
      </c>
      <c r="Q14" s="17">
        <v>11987.82</v>
      </c>
      <c r="R14" s="17">
        <v>0</v>
      </c>
      <c r="S14" s="17">
        <v>0</v>
      </c>
      <c r="T14" s="17">
        <v>0</v>
      </c>
      <c r="U14" s="17">
        <v>0</v>
      </c>
      <c r="V14" s="17">
        <f t="shared" si="3"/>
        <v>143853.91</v>
      </c>
      <c r="W14" s="58">
        <f t="shared" si="4"/>
        <v>0</v>
      </c>
      <c r="X14" s="157">
        <v>0</v>
      </c>
      <c r="Y14" s="75">
        <f t="shared" si="0"/>
        <v>-143853.91</v>
      </c>
    </row>
    <row r="15" spans="1:26" x14ac:dyDescent="0.25">
      <c r="A15" s="153">
        <v>6</v>
      </c>
      <c r="B15" s="22" t="s">
        <v>318</v>
      </c>
      <c r="C15" s="222" t="s">
        <v>544</v>
      </c>
      <c r="D15" s="5" t="s">
        <v>100</v>
      </c>
      <c r="E15" s="7">
        <v>1</v>
      </c>
      <c r="F15" s="15">
        <v>0</v>
      </c>
      <c r="G15" s="17"/>
      <c r="H15" s="17"/>
      <c r="I15" s="17"/>
      <c r="J15" s="21"/>
      <c r="K15" s="15">
        <f t="shared" si="1"/>
        <v>0</v>
      </c>
      <c r="L15" s="98">
        <v>12</v>
      </c>
      <c r="M15" s="175"/>
      <c r="N15" s="80">
        <v>4.1000000000000002E-2</v>
      </c>
      <c r="O15" s="18">
        <v>0.25</v>
      </c>
      <c r="P15" s="15">
        <v>419465.63</v>
      </c>
      <c r="Q15" s="17">
        <v>27964.37</v>
      </c>
      <c r="R15" s="17">
        <v>0</v>
      </c>
      <c r="S15" s="17">
        <v>0</v>
      </c>
      <c r="T15" s="17">
        <v>0</v>
      </c>
      <c r="U15" s="17">
        <v>0</v>
      </c>
      <c r="V15" s="17">
        <f t="shared" si="3"/>
        <v>447430</v>
      </c>
      <c r="W15" s="58">
        <f t="shared" si="4"/>
        <v>0</v>
      </c>
      <c r="X15" s="157">
        <v>0</v>
      </c>
      <c r="Y15" s="75">
        <f t="shared" si="0"/>
        <v>-447430</v>
      </c>
      <c r="Z15" s="260"/>
    </row>
    <row r="16" spans="1:26" x14ac:dyDescent="0.25">
      <c r="A16" s="153">
        <v>7</v>
      </c>
      <c r="B16" s="22" t="s">
        <v>318</v>
      </c>
      <c r="C16" s="222" t="s">
        <v>545</v>
      </c>
      <c r="D16" s="7" t="s">
        <v>101</v>
      </c>
      <c r="E16" s="7">
        <v>1</v>
      </c>
      <c r="F16" s="15">
        <v>0</v>
      </c>
      <c r="G16" s="17"/>
      <c r="H16" s="17"/>
      <c r="I16" s="17"/>
      <c r="J16" s="21"/>
      <c r="K16" s="15">
        <f t="shared" si="1"/>
        <v>0</v>
      </c>
      <c r="L16" s="98">
        <v>12</v>
      </c>
      <c r="M16" s="175"/>
      <c r="N16" s="80">
        <v>4.1000000000000002E-2</v>
      </c>
      <c r="O16" s="18">
        <v>0.25</v>
      </c>
      <c r="P16" s="15">
        <v>126416.47</v>
      </c>
      <c r="Q16" s="17">
        <v>8427.76</v>
      </c>
      <c r="R16" s="17">
        <v>0</v>
      </c>
      <c r="S16" s="17">
        <v>0</v>
      </c>
      <c r="T16" s="17">
        <v>0</v>
      </c>
      <c r="U16" s="17">
        <v>0</v>
      </c>
      <c r="V16" s="17">
        <f t="shared" si="3"/>
        <v>134844.23000000001</v>
      </c>
      <c r="W16" s="58">
        <f t="shared" si="4"/>
        <v>0</v>
      </c>
      <c r="X16" s="157">
        <v>0</v>
      </c>
      <c r="Y16" s="75">
        <f t="shared" si="0"/>
        <v>-134844.23000000001</v>
      </c>
    </row>
    <row r="17" spans="1:27" x14ac:dyDescent="0.25">
      <c r="A17" s="153">
        <v>8</v>
      </c>
      <c r="B17" s="22" t="s">
        <v>318</v>
      </c>
      <c r="C17" s="222" t="s">
        <v>546</v>
      </c>
      <c r="D17" s="7" t="s">
        <v>102</v>
      </c>
      <c r="E17" s="7">
        <v>2</v>
      </c>
      <c r="F17" s="15">
        <v>0</v>
      </c>
      <c r="G17" s="17"/>
      <c r="H17" s="17"/>
      <c r="I17" s="17"/>
      <c r="J17" s="21"/>
      <c r="K17" s="15">
        <f t="shared" si="1"/>
        <v>0</v>
      </c>
      <c r="L17" s="98">
        <v>12</v>
      </c>
      <c r="M17" s="175"/>
      <c r="N17" s="80">
        <v>4.1000000000000002E-2</v>
      </c>
      <c r="O17" s="18">
        <v>0.25</v>
      </c>
      <c r="P17" s="15">
        <v>1807066.5</v>
      </c>
      <c r="Q17" s="17">
        <v>120471.1</v>
      </c>
      <c r="R17" s="17">
        <v>0</v>
      </c>
      <c r="S17" s="17">
        <v>0</v>
      </c>
      <c r="T17" s="17">
        <v>0</v>
      </c>
      <c r="U17" s="17">
        <v>0</v>
      </c>
      <c r="V17" s="17">
        <f t="shared" si="3"/>
        <v>1927537.6</v>
      </c>
      <c r="W17" s="58">
        <f t="shared" si="4"/>
        <v>0</v>
      </c>
      <c r="X17" s="157">
        <v>0</v>
      </c>
      <c r="Y17" s="75">
        <f t="shared" si="0"/>
        <v>-1927537.6</v>
      </c>
    </row>
    <row r="18" spans="1:27" x14ac:dyDescent="0.25">
      <c r="A18" s="153">
        <v>9</v>
      </c>
      <c r="B18" s="22" t="s">
        <v>318</v>
      </c>
      <c r="C18" s="222" t="s">
        <v>547</v>
      </c>
      <c r="D18" s="7" t="s">
        <v>103</v>
      </c>
      <c r="E18" s="7">
        <v>1</v>
      </c>
      <c r="F18" s="15">
        <v>0</v>
      </c>
      <c r="G18" s="17"/>
      <c r="H18" s="17"/>
      <c r="I18" s="17"/>
      <c r="J18" s="21"/>
      <c r="K18" s="15">
        <f t="shared" si="1"/>
        <v>0</v>
      </c>
      <c r="L18" s="98">
        <v>12</v>
      </c>
      <c r="M18" s="175"/>
      <c r="N18" s="80">
        <v>4.1000000000000002E-2</v>
      </c>
      <c r="O18" s="18">
        <v>0.25</v>
      </c>
      <c r="P18" s="15">
        <v>36729.17</v>
      </c>
      <c r="Q18" s="17">
        <v>4270.83</v>
      </c>
      <c r="R18" s="17">
        <v>0</v>
      </c>
      <c r="S18" s="17">
        <v>0</v>
      </c>
      <c r="T18" s="17">
        <v>0</v>
      </c>
      <c r="U18" s="17">
        <v>0</v>
      </c>
      <c r="V18" s="17">
        <f t="shared" si="3"/>
        <v>41000</v>
      </c>
      <c r="W18" s="58">
        <f t="shared" si="4"/>
        <v>0</v>
      </c>
      <c r="X18" s="157">
        <v>0</v>
      </c>
      <c r="Y18" s="75">
        <f t="shared" si="0"/>
        <v>-41000</v>
      </c>
    </row>
    <row r="19" spans="1:27" x14ac:dyDescent="0.25">
      <c r="A19" s="153">
        <v>10</v>
      </c>
      <c r="B19" s="22" t="s">
        <v>318</v>
      </c>
      <c r="C19" s="222" t="s">
        <v>548</v>
      </c>
      <c r="D19" s="7" t="s">
        <v>104</v>
      </c>
      <c r="E19" s="7">
        <v>1</v>
      </c>
      <c r="F19" s="15">
        <v>0</v>
      </c>
      <c r="G19" s="17"/>
      <c r="H19" s="17"/>
      <c r="I19" s="17"/>
      <c r="J19" s="21"/>
      <c r="K19" s="15">
        <f t="shared" si="1"/>
        <v>0</v>
      </c>
      <c r="L19" s="98">
        <v>12</v>
      </c>
      <c r="M19" s="175"/>
      <c r="N19" s="80">
        <v>4.1000000000000002E-2</v>
      </c>
      <c r="O19" s="18">
        <v>0.25</v>
      </c>
      <c r="P19" s="15">
        <v>977876.38</v>
      </c>
      <c r="Q19" s="17">
        <v>225663.78</v>
      </c>
      <c r="R19" s="17">
        <v>0</v>
      </c>
      <c r="S19" s="17">
        <v>0</v>
      </c>
      <c r="T19" s="17">
        <v>0</v>
      </c>
      <c r="U19" s="17">
        <v>0</v>
      </c>
      <c r="V19" s="17">
        <f t="shared" si="3"/>
        <v>1203540.1599999999</v>
      </c>
      <c r="W19" s="58">
        <f t="shared" si="4"/>
        <v>0</v>
      </c>
      <c r="X19" s="157">
        <v>0</v>
      </c>
      <c r="Y19" s="75">
        <f t="shared" si="0"/>
        <v>-1203540.1599999999</v>
      </c>
    </row>
    <row r="20" spans="1:27" x14ac:dyDescent="0.25">
      <c r="A20" s="153">
        <v>11</v>
      </c>
      <c r="B20" s="22" t="s">
        <v>318</v>
      </c>
      <c r="C20" s="222" t="s">
        <v>549</v>
      </c>
      <c r="D20" s="7" t="s">
        <v>105</v>
      </c>
      <c r="E20" s="7">
        <v>1</v>
      </c>
      <c r="F20" s="15">
        <v>0</v>
      </c>
      <c r="G20" s="17"/>
      <c r="H20" s="17"/>
      <c r="I20" s="17"/>
      <c r="J20" s="21"/>
      <c r="K20" s="15">
        <f t="shared" si="1"/>
        <v>0</v>
      </c>
      <c r="L20" s="98">
        <v>12</v>
      </c>
      <c r="M20" s="175"/>
      <c r="N20" s="80">
        <v>4.1000000000000002E-2</v>
      </c>
      <c r="O20" s="18">
        <v>0.25</v>
      </c>
      <c r="P20" s="15">
        <v>149971.31</v>
      </c>
      <c r="Q20" s="17">
        <v>39466.120000000003</v>
      </c>
      <c r="R20" s="17">
        <v>0</v>
      </c>
      <c r="S20" s="17">
        <v>0</v>
      </c>
      <c r="T20" s="17">
        <v>0</v>
      </c>
      <c r="U20" s="17">
        <v>0</v>
      </c>
      <c r="V20" s="17">
        <f t="shared" si="3"/>
        <v>189437.43</v>
      </c>
      <c r="W20" s="58">
        <f t="shared" si="4"/>
        <v>0</v>
      </c>
      <c r="X20" s="157">
        <v>0</v>
      </c>
      <c r="Y20" s="75">
        <f t="shared" si="0"/>
        <v>-189437.43</v>
      </c>
    </row>
    <row r="21" spans="1:27" x14ac:dyDescent="0.25">
      <c r="A21" s="153">
        <v>12</v>
      </c>
      <c r="B21" s="22" t="s">
        <v>318</v>
      </c>
      <c r="C21" s="222" t="s">
        <v>550</v>
      </c>
      <c r="D21" s="7" t="s">
        <v>105</v>
      </c>
      <c r="E21" s="7">
        <v>1</v>
      </c>
      <c r="F21" s="15">
        <v>0</v>
      </c>
      <c r="G21" s="17"/>
      <c r="H21" s="17"/>
      <c r="I21" s="17"/>
      <c r="J21" s="21"/>
      <c r="K21" s="15">
        <f t="shared" si="1"/>
        <v>0</v>
      </c>
      <c r="L21" s="98">
        <v>12</v>
      </c>
      <c r="M21" s="175"/>
      <c r="N21" s="80">
        <v>4.1000000000000002E-2</v>
      </c>
      <c r="O21" s="18">
        <v>0.25</v>
      </c>
      <c r="P21" s="15">
        <v>59988.51</v>
      </c>
      <c r="Q21" s="17">
        <v>15786.46</v>
      </c>
      <c r="R21" s="17">
        <v>0</v>
      </c>
      <c r="S21" s="17">
        <v>0</v>
      </c>
      <c r="T21" s="17">
        <v>0</v>
      </c>
      <c r="U21" s="17">
        <v>0</v>
      </c>
      <c r="V21" s="17">
        <f t="shared" si="3"/>
        <v>75774.97</v>
      </c>
      <c r="W21" s="58">
        <f t="shared" si="4"/>
        <v>0</v>
      </c>
      <c r="X21" s="157">
        <v>0</v>
      </c>
      <c r="Y21" s="75">
        <f t="shared" si="0"/>
        <v>-75774.97</v>
      </c>
      <c r="Z21" s="15"/>
      <c r="AA21" s="15"/>
    </row>
    <row r="22" spans="1:27" x14ac:dyDescent="0.25">
      <c r="A22" s="153">
        <v>13</v>
      </c>
      <c r="B22" s="22" t="s">
        <v>318</v>
      </c>
      <c r="C22" s="222" t="s">
        <v>551</v>
      </c>
      <c r="D22" s="7" t="s">
        <v>106</v>
      </c>
      <c r="E22" s="7">
        <v>1</v>
      </c>
      <c r="F22" s="15">
        <v>0</v>
      </c>
      <c r="G22" s="17"/>
      <c r="H22" s="17"/>
      <c r="I22" s="17"/>
      <c r="J22" s="21"/>
      <c r="K22" s="15">
        <f t="shared" si="1"/>
        <v>0</v>
      </c>
      <c r="L22" s="98">
        <v>12</v>
      </c>
      <c r="M22" s="175"/>
      <c r="N22" s="80">
        <v>4.1000000000000002E-2</v>
      </c>
      <c r="O22" s="18">
        <v>0.25</v>
      </c>
      <c r="P22" s="15">
        <v>32760.42</v>
      </c>
      <c r="Q22" s="17">
        <v>9739.58</v>
      </c>
      <c r="R22" s="17">
        <v>0</v>
      </c>
      <c r="S22" s="17">
        <v>0</v>
      </c>
      <c r="T22" s="17">
        <v>0</v>
      </c>
      <c r="U22" s="17">
        <v>0</v>
      </c>
      <c r="V22" s="17">
        <f t="shared" si="3"/>
        <v>42500</v>
      </c>
      <c r="W22" s="58">
        <f t="shared" si="4"/>
        <v>0</v>
      </c>
      <c r="X22" s="157">
        <v>0</v>
      </c>
      <c r="Y22" s="75">
        <f t="shared" si="0"/>
        <v>-42500</v>
      </c>
    </row>
    <row r="23" spans="1:27" x14ac:dyDescent="0.25">
      <c r="A23" s="257">
        <v>14</v>
      </c>
      <c r="B23" s="258" t="s">
        <v>310</v>
      </c>
      <c r="C23" s="266" t="s">
        <v>857</v>
      </c>
      <c r="D23" s="259" t="s">
        <v>94</v>
      </c>
      <c r="E23" s="259">
        <v>1</v>
      </c>
      <c r="F23" s="143">
        <v>1.1641532182693481E-10</v>
      </c>
      <c r="G23" s="260"/>
      <c r="H23" s="260"/>
      <c r="I23" s="260"/>
      <c r="J23" s="261"/>
      <c r="K23" s="143">
        <f t="shared" si="1"/>
        <v>1.1641532182693481E-10</v>
      </c>
      <c r="L23" s="262">
        <v>12</v>
      </c>
      <c r="M23" s="263"/>
      <c r="N23" s="264">
        <v>4.1000000000000002E-2</v>
      </c>
      <c r="O23" s="265">
        <v>0.25</v>
      </c>
      <c r="P23" s="143">
        <v>1792723.39</v>
      </c>
      <c r="Q23" s="260">
        <v>119514.88</v>
      </c>
      <c r="R23" s="260">
        <v>0</v>
      </c>
      <c r="S23" s="260">
        <v>0</v>
      </c>
      <c r="T23" s="260">
        <v>0</v>
      </c>
      <c r="U23" s="260">
        <v>0</v>
      </c>
      <c r="V23" s="260">
        <f>+P23+Q23+R23+U23</f>
        <v>1912238.27</v>
      </c>
      <c r="W23" s="58">
        <f t="shared" si="4"/>
        <v>1.1641532182693481E-10</v>
      </c>
      <c r="X23" s="157">
        <v>0</v>
      </c>
      <c r="Y23" s="75">
        <f t="shared" si="0"/>
        <v>-1912238.2699999996</v>
      </c>
    </row>
    <row r="24" spans="1:27" ht="30" x14ac:dyDescent="0.25">
      <c r="A24" s="257">
        <v>15</v>
      </c>
      <c r="B24" s="258" t="s">
        <v>311</v>
      </c>
      <c r="C24" s="267" t="s">
        <v>859</v>
      </c>
      <c r="D24" s="259" t="s">
        <v>107</v>
      </c>
      <c r="E24" s="259"/>
      <c r="F24" s="143">
        <v>1.1641532182693481E-9</v>
      </c>
      <c r="G24" s="260"/>
      <c r="H24" s="260"/>
      <c r="I24" s="260"/>
      <c r="J24" s="261"/>
      <c r="K24" s="143">
        <f t="shared" si="1"/>
        <v>1.1641532182693481E-9</v>
      </c>
      <c r="L24" s="262">
        <v>12</v>
      </c>
      <c r="M24" s="263"/>
      <c r="N24" s="264">
        <v>4.1000000000000002E-2</v>
      </c>
      <c r="O24" s="265">
        <v>0.25</v>
      </c>
      <c r="P24" s="143">
        <v>11815815.449999999</v>
      </c>
      <c r="Q24" s="260">
        <v>787721.03</v>
      </c>
      <c r="R24" s="260">
        <v>0</v>
      </c>
      <c r="S24" s="260">
        <v>0</v>
      </c>
      <c r="T24" s="260">
        <v>0</v>
      </c>
      <c r="U24" s="260">
        <v>0</v>
      </c>
      <c r="V24" s="260">
        <f t="shared" si="3"/>
        <v>12603536.479999999</v>
      </c>
      <c r="W24" s="58">
        <f t="shared" si="4"/>
        <v>1.1641532182693481E-9</v>
      </c>
      <c r="X24" s="157">
        <v>0</v>
      </c>
      <c r="Y24" s="75">
        <f t="shared" si="0"/>
        <v>-12603536.479999997</v>
      </c>
    </row>
    <row r="25" spans="1:27" x14ac:dyDescent="0.25">
      <c r="A25" s="257">
        <v>16</v>
      </c>
      <c r="B25" s="258" t="s">
        <v>313</v>
      </c>
      <c r="C25" s="266" t="s">
        <v>858</v>
      </c>
      <c r="D25" s="259" t="s">
        <v>108</v>
      </c>
      <c r="E25" s="259">
        <v>1</v>
      </c>
      <c r="F25" s="143">
        <v>0</v>
      </c>
      <c r="G25" s="260"/>
      <c r="H25" s="260"/>
      <c r="I25" s="260"/>
      <c r="J25" s="261"/>
      <c r="K25" s="143">
        <f t="shared" si="1"/>
        <v>0</v>
      </c>
      <c r="L25" s="262">
        <v>12</v>
      </c>
      <c r="M25" s="263"/>
      <c r="N25" s="264">
        <v>4.1000000000000002E-2</v>
      </c>
      <c r="O25" s="265">
        <v>0.25</v>
      </c>
      <c r="P25" s="260">
        <v>3946999.46</v>
      </c>
      <c r="Q25" s="260">
        <v>263133.28000000003</v>
      </c>
      <c r="R25" s="260">
        <v>0</v>
      </c>
      <c r="S25" s="260">
        <v>0</v>
      </c>
      <c r="T25" s="260">
        <v>0</v>
      </c>
      <c r="U25" s="260">
        <v>0</v>
      </c>
      <c r="V25" s="260">
        <f t="shared" si="3"/>
        <v>4210132.74</v>
      </c>
      <c r="W25" s="58">
        <f t="shared" si="4"/>
        <v>0</v>
      </c>
      <c r="X25" s="157">
        <v>0</v>
      </c>
      <c r="Y25" s="75">
        <f t="shared" si="0"/>
        <v>-4210132.74</v>
      </c>
    </row>
    <row r="26" spans="1:27" x14ac:dyDescent="0.25">
      <c r="A26" s="153">
        <v>17</v>
      </c>
      <c r="B26" s="22" t="s">
        <v>318</v>
      </c>
      <c r="C26" s="222" t="s">
        <v>552</v>
      </c>
      <c r="D26" s="7" t="s">
        <v>109</v>
      </c>
      <c r="E26" s="7">
        <v>1</v>
      </c>
      <c r="F26" s="15">
        <v>1645923.9</v>
      </c>
      <c r="G26" s="17"/>
      <c r="H26" s="17"/>
      <c r="I26" s="17"/>
      <c r="J26" s="21"/>
      <c r="K26" s="15">
        <f t="shared" si="1"/>
        <v>1645923.9</v>
      </c>
      <c r="L26" s="98">
        <v>12</v>
      </c>
      <c r="M26" s="175"/>
      <c r="N26" s="80">
        <v>4.1000000000000002E-2</v>
      </c>
      <c r="O26" s="18">
        <v>0</v>
      </c>
      <c r="P26" s="17">
        <v>0</v>
      </c>
      <c r="Q26" s="21">
        <v>0</v>
      </c>
      <c r="R26" s="21">
        <v>0</v>
      </c>
      <c r="S26" s="21">
        <v>67482.8799</v>
      </c>
      <c r="T26" s="17">
        <f t="shared" si="2"/>
        <v>5623.5733250000003</v>
      </c>
      <c r="U26" s="17">
        <f>+K26*N26</f>
        <v>67482.8799</v>
      </c>
      <c r="V26" s="17">
        <f t="shared" si="3"/>
        <v>67482.8799</v>
      </c>
      <c r="W26" s="58">
        <f t="shared" si="4"/>
        <v>1510958.1401999998</v>
      </c>
      <c r="X26" s="157">
        <f t="shared" si="5"/>
        <v>50612.159925</v>
      </c>
      <c r="Y26" s="75">
        <f t="shared" si="0"/>
        <v>1595311.7400749999</v>
      </c>
    </row>
    <row r="27" spans="1:27" x14ac:dyDescent="0.25">
      <c r="A27" s="153">
        <v>18</v>
      </c>
      <c r="B27" s="22" t="s">
        <v>318</v>
      </c>
      <c r="C27" s="222" t="s">
        <v>553</v>
      </c>
      <c r="D27" s="7" t="s">
        <v>110</v>
      </c>
      <c r="E27" s="7">
        <v>1</v>
      </c>
      <c r="F27" s="15">
        <v>0</v>
      </c>
      <c r="G27" s="17"/>
      <c r="H27" s="17"/>
      <c r="I27" s="17"/>
      <c r="J27" s="21"/>
      <c r="K27" s="15">
        <f t="shared" si="1"/>
        <v>0</v>
      </c>
      <c r="L27" s="98">
        <v>12</v>
      </c>
      <c r="M27" s="175"/>
      <c r="N27" s="80">
        <v>4.1000000000000002E-2</v>
      </c>
      <c r="O27" s="18">
        <v>0.25</v>
      </c>
      <c r="P27" s="17">
        <v>250081.86</v>
      </c>
      <c r="Q27" s="21">
        <v>16672.14</v>
      </c>
      <c r="R27" s="21">
        <v>0</v>
      </c>
      <c r="S27" s="21">
        <v>0</v>
      </c>
      <c r="T27" s="17">
        <f t="shared" si="2"/>
        <v>0</v>
      </c>
      <c r="U27" s="17">
        <v>0</v>
      </c>
      <c r="V27" s="17">
        <f t="shared" si="3"/>
        <v>266754</v>
      </c>
      <c r="W27" s="58">
        <f t="shared" si="4"/>
        <v>0</v>
      </c>
      <c r="X27" s="157">
        <v>0</v>
      </c>
      <c r="Y27" s="75">
        <f t="shared" si="0"/>
        <v>-266754</v>
      </c>
    </row>
    <row r="28" spans="1:27" x14ac:dyDescent="0.25">
      <c r="A28" s="153">
        <v>19</v>
      </c>
      <c r="B28" s="22" t="s">
        <v>318</v>
      </c>
      <c r="C28" s="222" t="s">
        <v>554</v>
      </c>
      <c r="D28" s="7" t="s">
        <v>111</v>
      </c>
      <c r="E28" s="7">
        <v>1</v>
      </c>
      <c r="F28" s="15">
        <v>410727.68000000011</v>
      </c>
      <c r="G28" s="17"/>
      <c r="H28" s="17"/>
      <c r="I28" s="17"/>
      <c r="J28" s="21"/>
      <c r="K28" s="15">
        <f t="shared" si="1"/>
        <v>410727.68000000011</v>
      </c>
      <c r="L28" s="98">
        <v>12</v>
      </c>
      <c r="M28" s="175"/>
      <c r="N28" s="80">
        <v>4.1000000000000002E-2</v>
      </c>
      <c r="O28" s="18">
        <v>0.25</v>
      </c>
      <c r="P28" s="17">
        <v>1067891.96</v>
      </c>
      <c r="Q28" s="21">
        <v>492873.21</v>
      </c>
      <c r="R28" s="21">
        <v>197149.28500000003</v>
      </c>
      <c r="S28" s="21">
        <v>16839.834880000006</v>
      </c>
      <c r="T28" s="17">
        <f t="shared" si="2"/>
        <v>1403.3195733333339</v>
      </c>
      <c r="U28" s="17">
        <f t="shared" ref="U28:U51" si="6">+K28*N28</f>
        <v>16839.834880000006</v>
      </c>
      <c r="V28" s="17">
        <f t="shared" si="3"/>
        <v>1774754.2898800001</v>
      </c>
      <c r="W28" s="58">
        <f t="shared" si="4"/>
        <v>179898.72524000006</v>
      </c>
      <c r="X28" s="157">
        <f t="shared" si="5"/>
        <v>12629.876160000005</v>
      </c>
      <c r="Y28" s="75">
        <f t="shared" si="0"/>
        <v>-1162667.3661599997</v>
      </c>
    </row>
    <row r="29" spans="1:27" x14ac:dyDescent="0.25">
      <c r="A29" s="153">
        <v>20</v>
      </c>
      <c r="B29" s="22" t="s">
        <v>318</v>
      </c>
      <c r="C29" s="222" t="s">
        <v>555</v>
      </c>
      <c r="D29" s="7" t="s">
        <v>112</v>
      </c>
      <c r="E29" s="7">
        <v>1</v>
      </c>
      <c r="F29" s="15">
        <v>1310.2199999999998</v>
      </c>
      <c r="G29" s="17"/>
      <c r="H29" s="17"/>
      <c r="I29" s="17"/>
      <c r="J29" s="21"/>
      <c r="K29" s="15">
        <f t="shared" si="1"/>
        <v>1310.2199999999998</v>
      </c>
      <c r="L29" s="98">
        <v>12</v>
      </c>
      <c r="M29" s="175"/>
      <c r="N29" s="80">
        <v>4.1000000000000002E-2</v>
      </c>
      <c r="O29" s="18">
        <v>0.25</v>
      </c>
      <c r="P29" s="15">
        <v>3406.53</v>
      </c>
      <c r="Q29" s="17">
        <v>1572.25</v>
      </c>
      <c r="R29" s="17">
        <v>628.90000000000009</v>
      </c>
      <c r="S29" s="17">
        <v>53.719019999999993</v>
      </c>
      <c r="T29" s="17">
        <f t="shared" si="2"/>
        <v>4.4765849999999991</v>
      </c>
      <c r="U29" s="17">
        <f t="shared" si="6"/>
        <v>53.719019999999993</v>
      </c>
      <c r="V29" s="17">
        <f t="shared" si="3"/>
        <v>5661.3990199999998</v>
      </c>
      <c r="W29" s="58">
        <f t="shared" si="4"/>
        <v>573.88195999999971</v>
      </c>
      <c r="X29" s="157">
        <f t="shared" si="5"/>
        <v>40.289264999999993</v>
      </c>
      <c r="Y29" s="75">
        <f t="shared" si="0"/>
        <v>-3708.8492650000003</v>
      </c>
    </row>
    <row r="30" spans="1:27" x14ac:dyDescent="0.25">
      <c r="A30" s="153">
        <v>21</v>
      </c>
      <c r="B30" s="22" t="s">
        <v>318</v>
      </c>
      <c r="C30" s="222" t="s">
        <v>556</v>
      </c>
      <c r="D30" s="7" t="s">
        <v>113</v>
      </c>
      <c r="E30" s="7">
        <v>1</v>
      </c>
      <c r="F30" s="15">
        <v>9166.6699999999983</v>
      </c>
      <c r="G30" s="17"/>
      <c r="H30" s="17"/>
      <c r="I30" s="17"/>
      <c r="J30" s="21"/>
      <c r="K30" s="15">
        <f t="shared" si="1"/>
        <v>9166.6699999999983</v>
      </c>
      <c r="L30" s="98">
        <v>12</v>
      </c>
      <c r="M30" s="175"/>
      <c r="N30" s="80">
        <v>4.1000000000000002E-2</v>
      </c>
      <c r="O30" s="18">
        <v>0.25</v>
      </c>
      <c r="P30" s="15">
        <v>20833.330000000002</v>
      </c>
      <c r="Q30" s="17">
        <v>10000</v>
      </c>
      <c r="R30" s="17">
        <v>4000</v>
      </c>
      <c r="S30" s="17">
        <v>375.83346999999992</v>
      </c>
      <c r="T30" s="17">
        <f t="shared" si="2"/>
        <v>31.319455833333326</v>
      </c>
      <c r="U30" s="17">
        <f t="shared" si="6"/>
        <v>375.83346999999992</v>
      </c>
      <c r="V30" s="17">
        <f t="shared" si="3"/>
        <v>35209.16347</v>
      </c>
      <c r="W30" s="58">
        <f t="shared" si="4"/>
        <v>4415.0030599999991</v>
      </c>
      <c r="X30" s="157">
        <f t="shared" si="5"/>
        <v>281.87510249999991</v>
      </c>
      <c r="Y30" s="75">
        <f t="shared" si="0"/>
        <v>-21948.535102500002</v>
      </c>
    </row>
    <row r="31" spans="1:27" x14ac:dyDescent="0.25">
      <c r="A31" s="153">
        <v>22</v>
      </c>
      <c r="B31" s="22" t="s">
        <v>318</v>
      </c>
      <c r="C31" s="222" t="s">
        <v>557</v>
      </c>
      <c r="D31" s="7" t="s">
        <v>114</v>
      </c>
      <c r="E31" s="7">
        <v>1</v>
      </c>
      <c r="F31" s="15">
        <v>7591.5</v>
      </c>
      <c r="G31" s="17"/>
      <c r="H31" s="17"/>
      <c r="I31" s="17"/>
      <c r="J31" s="21"/>
      <c r="K31" s="15">
        <f t="shared" si="1"/>
        <v>7591.5</v>
      </c>
      <c r="L31" s="98">
        <v>12</v>
      </c>
      <c r="M31" s="175"/>
      <c r="N31" s="80">
        <v>4.1000000000000002E-2</v>
      </c>
      <c r="O31" s="18">
        <v>0.25</v>
      </c>
      <c r="P31" s="15">
        <v>15183</v>
      </c>
      <c r="Q31" s="17">
        <v>7591.5</v>
      </c>
      <c r="R31" s="17">
        <v>3036.6000000000004</v>
      </c>
      <c r="S31" s="17">
        <v>311.25150000000002</v>
      </c>
      <c r="T31" s="17">
        <f t="shared" si="2"/>
        <v>25.937625000000001</v>
      </c>
      <c r="U31" s="17">
        <f t="shared" si="6"/>
        <v>311.25150000000002</v>
      </c>
      <c r="V31" s="17">
        <f t="shared" si="3"/>
        <v>26122.351499999997</v>
      </c>
      <c r="W31" s="58">
        <f t="shared" si="4"/>
        <v>3932.3969999999995</v>
      </c>
      <c r="X31" s="157">
        <f t="shared" si="5"/>
        <v>233.438625</v>
      </c>
      <c r="Y31" s="75">
        <f t="shared" si="0"/>
        <v>-15416.438625000001</v>
      </c>
    </row>
    <row r="32" spans="1:27" x14ac:dyDescent="0.25">
      <c r="A32" s="153">
        <v>23</v>
      </c>
      <c r="B32" s="22" t="s">
        <v>318</v>
      </c>
      <c r="C32" s="222" t="s">
        <v>558</v>
      </c>
      <c r="D32" s="7" t="s">
        <v>115</v>
      </c>
      <c r="E32" s="7">
        <v>1</v>
      </c>
      <c r="F32" s="15">
        <v>1257666.6600000001</v>
      </c>
      <c r="G32" s="17"/>
      <c r="H32" s="17"/>
      <c r="I32" s="17"/>
      <c r="J32" s="21"/>
      <c r="K32" s="15">
        <f t="shared" si="1"/>
        <v>1257666.6600000001</v>
      </c>
      <c r="L32" s="98">
        <v>12</v>
      </c>
      <c r="M32" s="175"/>
      <c r="N32" s="80">
        <v>4.1000000000000002E-2</v>
      </c>
      <c r="O32" s="18">
        <v>0.25</v>
      </c>
      <c r="P32" s="15">
        <v>1572083.32</v>
      </c>
      <c r="Q32" s="17">
        <v>943250</v>
      </c>
      <c r="R32" s="17">
        <v>377299.99800000002</v>
      </c>
      <c r="S32" s="17">
        <v>51564.333060000012</v>
      </c>
      <c r="T32" s="17">
        <f>+U32/12</f>
        <v>4297.027755000001</v>
      </c>
      <c r="U32" s="17">
        <f t="shared" si="6"/>
        <v>51564.333060000012</v>
      </c>
      <c r="V32" s="17">
        <f t="shared" si="3"/>
        <v>2944197.6510600005</v>
      </c>
      <c r="W32" s="58">
        <f t="shared" si="4"/>
        <v>777237.99588000018</v>
      </c>
      <c r="X32" s="157">
        <f t="shared" si="5"/>
        <v>38673.249795000011</v>
      </c>
      <c r="Y32" s="75">
        <f t="shared" si="0"/>
        <v>-1296339.909795</v>
      </c>
    </row>
    <row r="33" spans="1:26" x14ac:dyDescent="0.25">
      <c r="A33" s="153">
        <v>24</v>
      </c>
      <c r="B33" s="22" t="s">
        <v>318</v>
      </c>
      <c r="C33" s="222" t="s">
        <v>559</v>
      </c>
      <c r="D33" s="7" t="s">
        <v>116</v>
      </c>
      <c r="E33" s="7">
        <v>1</v>
      </c>
      <c r="F33" s="15">
        <v>300484.03000000003</v>
      </c>
      <c r="G33" s="17"/>
      <c r="H33" s="17"/>
      <c r="I33" s="17"/>
      <c r="J33" s="21"/>
      <c r="K33" s="15">
        <f t="shared" si="1"/>
        <v>300484.03000000003</v>
      </c>
      <c r="L33" s="98">
        <v>12</v>
      </c>
      <c r="M33" s="175"/>
      <c r="N33" s="80">
        <v>4.1000000000000002E-2</v>
      </c>
      <c r="O33" s="18">
        <v>0.25</v>
      </c>
      <c r="P33" s="15">
        <v>472189.17</v>
      </c>
      <c r="Q33" s="17">
        <v>257557.73</v>
      </c>
      <c r="R33" s="17">
        <v>103023.09300000001</v>
      </c>
      <c r="S33" s="17">
        <v>12319.845230000001</v>
      </c>
      <c r="T33" s="17">
        <f t="shared" si="2"/>
        <v>1026.6537691666667</v>
      </c>
      <c r="U33" s="17">
        <f t="shared" si="6"/>
        <v>12319.845230000001</v>
      </c>
      <c r="V33" s="17">
        <f t="shared" si="3"/>
        <v>845089.83822999999</v>
      </c>
      <c r="W33" s="58">
        <f t="shared" si="4"/>
        <v>172821.24654000002</v>
      </c>
      <c r="X33" s="157">
        <f t="shared" si="5"/>
        <v>9239.8839225000011</v>
      </c>
      <c r="Y33" s="75">
        <f t="shared" si="0"/>
        <v>-438502.75392250001</v>
      </c>
      <c r="Z33" s="15"/>
    </row>
    <row r="34" spans="1:26" x14ac:dyDescent="0.25">
      <c r="A34" s="153">
        <v>25</v>
      </c>
      <c r="B34" s="22" t="s">
        <v>318</v>
      </c>
      <c r="C34" s="222" t="s">
        <v>560</v>
      </c>
      <c r="D34" s="7" t="s">
        <v>237</v>
      </c>
      <c r="E34" s="7">
        <v>1</v>
      </c>
      <c r="F34" s="15">
        <v>926876.57000000018</v>
      </c>
      <c r="G34" s="17"/>
      <c r="H34" s="17"/>
      <c r="I34" s="17"/>
      <c r="J34" s="21"/>
      <c r="K34" s="15">
        <f t="shared" si="1"/>
        <v>926876.57000000018</v>
      </c>
      <c r="L34" s="98">
        <v>12</v>
      </c>
      <c r="M34" s="175"/>
      <c r="N34" s="80">
        <v>4.1000000000000002E-2</v>
      </c>
      <c r="O34" s="18">
        <v>0.25</v>
      </c>
      <c r="P34" s="17">
        <v>1639858.52</v>
      </c>
      <c r="Q34" s="15">
        <v>855578.36</v>
      </c>
      <c r="R34" s="15">
        <v>342231.34500000003</v>
      </c>
      <c r="S34" s="15">
        <v>38001.939370000007</v>
      </c>
      <c r="T34" s="17">
        <f t="shared" si="2"/>
        <v>3166.8282808333338</v>
      </c>
      <c r="U34" s="17">
        <f t="shared" si="6"/>
        <v>38001.939370000007</v>
      </c>
      <c r="V34" s="17">
        <f t="shared" si="3"/>
        <v>2875670.1643699999</v>
      </c>
      <c r="W34" s="58">
        <f t="shared" si="4"/>
        <v>508641.34626000002</v>
      </c>
      <c r="X34" s="157">
        <f t="shared" si="5"/>
        <v>28501.454527500005</v>
      </c>
      <c r="Y34" s="75">
        <f t="shared" si="0"/>
        <v>-1597061.7645274999</v>
      </c>
      <c r="Z34" s="15"/>
    </row>
    <row r="35" spans="1:26" x14ac:dyDescent="0.25">
      <c r="A35" s="153">
        <v>26</v>
      </c>
      <c r="B35" s="22" t="s">
        <v>318</v>
      </c>
      <c r="C35" s="222" t="s">
        <v>561</v>
      </c>
      <c r="D35" s="7" t="s">
        <v>238</v>
      </c>
      <c r="E35" s="7">
        <v>1</v>
      </c>
      <c r="F35" s="15">
        <v>3056.62</v>
      </c>
      <c r="G35" s="17"/>
      <c r="H35" s="17"/>
      <c r="I35" s="17"/>
      <c r="J35" s="21"/>
      <c r="K35" s="15">
        <f t="shared" si="1"/>
        <v>3056.62</v>
      </c>
      <c r="L35" s="98">
        <v>12</v>
      </c>
      <c r="M35" s="175"/>
      <c r="N35" s="80">
        <v>4.1000000000000002E-2</v>
      </c>
      <c r="O35" s="18">
        <v>0.25</v>
      </c>
      <c r="P35" s="17">
        <v>1018.88</v>
      </c>
      <c r="Q35" s="15">
        <v>1358.5</v>
      </c>
      <c r="R35" s="15">
        <v>543.4</v>
      </c>
      <c r="S35" s="15">
        <v>125.32142</v>
      </c>
      <c r="T35" s="17">
        <f t="shared" si="2"/>
        <v>10.443451666666666</v>
      </c>
      <c r="U35" s="17">
        <f t="shared" si="6"/>
        <v>125.32142</v>
      </c>
      <c r="V35" s="17">
        <f t="shared" si="3"/>
        <v>3046.1014200000004</v>
      </c>
      <c r="W35" s="58">
        <f t="shared" si="4"/>
        <v>2262.5771599999994</v>
      </c>
      <c r="X35" s="157">
        <f t="shared" si="5"/>
        <v>93.991064999999992</v>
      </c>
      <c r="Y35" s="75">
        <f t="shared" si="0"/>
        <v>585.24893499999985</v>
      </c>
    </row>
    <row r="36" spans="1:26" x14ac:dyDescent="0.25">
      <c r="A36" s="153">
        <v>27</v>
      </c>
      <c r="B36" s="22" t="s">
        <v>318</v>
      </c>
      <c r="C36" s="222" t="s">
        <v>562</v>
      </c>
      <c r="D36" s="7" t="s">
        <v>239</v>
      </c>
      <c r="E36" s="7">
        <v>1</v>
      </c>
      <c r="F36" s="15">
        <v>3218.75</v>
      </c>
      <c r="G36" s="17"/>
      <c r="H36" s="17"/>
      <c r="I36" s="17"/>
      <c r="J36" s="21"/>
      <c r="K36" s="15">
        <f t="shared" si="1"/>
        <v>3218.75</v>
      </c>
      <c r="L36" s="98">
        <v>12</v>
      </c>
      <c r="M36" s="175"/>
      <c r="N36" s="80">
        <v>4.1000000000000002E-2</v>
      </c>
      <c r="O36" s="18">
        <v>0.25</v>
      </c>
      <c r="P36" s="17">
        <v>643.75</v>
      </c>
      <c r="Q36" s="21">
        <v>1287.5</v>
      </c>
      <c r="R36" s="21">
        <v>515</v>
      </c>
      <c r="S36" s="21">
        <v>131.96875</v>
      </c>
      <c r="T36" s="17">
        <f t="shared" si="2"/>
        <v>10.997395833333334</v>
      </c>
      <c r="U36" s="17">
        <f t="shared" si="6"/>
        <v>131.96875</v>
      </c>
      <c r="V36" s="17">
        <f t="shared" si="3"/>
        <v>2578.21875</v>
      </c>
      <c r="W36" s="58">
        <f t="shared" si="4"/>
        <v>2439.8125</v>
      </c>
      <c r="X36" s="157">
        <f t="shared" si="5"/>
        <v>98.9765625</v>
      </c>
      <c r="Y36" s="75">
        <f t="shared" si="0"/>
        <v>1188.5234375</v>
      </c>
    </row>
    <row r="37" spans="1:26" x14ac:dyDescent="0.25">
      <c r="A37" s="153">
        <v>28</v>
      </c>
      <c r="B37" s="22" t="s">
        <v>318</v>
      </c>
      <c r="C37" s="222" t="s">
        <v>563</v>
      </c>
      <c r="D37" s="7" t="s">
        <v>117</v>
      </c>
      <c r="E37" s="7">
        <v>1</v>
      </c>
      <c r="F37" s="15">
        <v>2699.5</v>
      </c>
      <c r="G37" s="17"/>
      <c r="H37" s="17"/>
      <c r="I37" s="17"/>
      <c r="J37" s="21"/>
      <c r="K37" s="15">
        <f t="shared" si="1"/>
        <v>2699.5</v>
      </c>
      <c r="L37" s="98">
        <v>12</v>
      </c>
      <c r="M37" s="175"/>
      <c r="N37" s="80">
        <v>4.1000000000000002E-2</v>
      </c>
      <c r="O37" s="18">
        <v>0.25</v>
      </c>
      <c r="P37" s="15">
        <v>539.9</v>
      </c>
      <c r="Q37" s="17">
        <v>1079.8</v>
      </c>
      <c r="R37" s="17">
        <v>431.92</v>
      </c>
      <c r="S37" s="17">
        <v>110.6795</v>
      </c>
      <c r="T37" s="17">
        <f t="shared" si="2"/>
        <v>9.2232916666666664</v>
      </c>
      <c r="U37" s="17">
        <f t="shared" si="6"/>
        <v>110.6795</v>
      </c>
      <c r="V37" s="17">
        <f t="shared" si="3"/>
        <v>2162.2995000000001</v>
      </c>
      <c r="W37" s="58">
        <f t="shared" si="4"/>
        <v>2046.2209999999998</v>
      </c>
      <c r="X37" s="157">
        <f t="shared" si="5"/>
        <v>83.009625</v>
      </c>
      <c r="Y37" s="75">
        <f t="shared" si="0"/>
        <v>996.79037499999993</v>
      </c>
    </row>
    <row r="38" spans="1:26" x14ac:dyDescent="0.25">
      <c r="A38" s="153">
        <v>29</v>
      </c>
      <c r="B38" s="22" t="s">
        <v>318</v>
      </c>
      <c r="C38" s="222" t="s">
        <v>564</v>
      </c>
      <c r="D38" s="7" t="s">
        <v>118</v>
      </c>
      <c r="E38" s="7">
        <v>1</v>
      </c>
      <c r="F38" s="15">
        <v>89770.83</v>
      </c>
      <c r="G38" s="17"/>
      <c r="H38" s="17"/>
      <c r="I38" s="17"/>
      <c r="J38" s="21"/>
      <c r="K38" s="15">
        <f t="shared" si="1"/>
        <v>89770.83</v>
      </c>
      <c r="L38" s="98">
        <v>12</v>
      </c>
      <c r="M38" s="175"/>
      <c r="N38" s="80">
        <v>4.1000000000000002E-2</v>
      </c>
      <c r="O38" s="18">
        <v>0.25</v>
      </c>
      <c r="P38" s="15">
        <v>14479.17</v>
      </c>
      <c r="Q38" s="17">
        <v>34750</v>
      </c>
      <c r="R38" s="17">
        <v>13900</v>
      </c>
      <c r="S38" s="17">
        <v>3680.6040300000004</v>
      </c>
      <c r="T38" s="17">
        <f t="shared" si="2"/>
        <v>306.71700250000004</v>
      </c>
      <c r="U38" s="17">
        <f t="shared" si="6"/>
        <v>3680.6040300000004</v>
      </c>
      <c r="V38" s="17">
        <f t="shared" si="3"/>
        <v>66809.77403</v>
      </c>
      <c r="W38" s="58">
        <f t="shared" si="4"/>
        <v>68509.621939999997</v>
      </c>
      <c r="X38" s="157">
        <f t="shared" si="5"/>
        <v>2760.4530225000003</v>
      </c>
      <c r="Y38" s="75">
        <f t="shared" si="0"/>
        <v>37781.206977500005</v>
      </c>
    </row>
    <row r="39" spans="1:26" x14ac:dyDescent="0.25">
      <c r="A39" s="153">
        <v>30</v>
      </c>
      <c r="B39" s="22" t="s">
        <v>318</v>
      </c>
      <c r="C39" s="222" t="s">
        <v>565</v>
      </c>
      <c r="D39" s="7" t="s">
        <v>119</v>
      </c>
      <c r="E39" s="7">
        <v>1</v>
      </c>
      <c r="F39" s="15">
        <v>2436.33</v>
      </c>
      <c r="G39" s="17"/>
      <c r="H39" s="17"/>
      <c r="I39" s="17"/>
      <c r="J39" s="21"/>
      <c r="K39" s="15">
        <f t="shared" si="1"/>
        <v>2436.33</v>
      </c>
      <c r="L39" s="98">
        <v>12</v>
      </c>
      <c r="M39" s="175"/>
      <c r="N39" s="80">
        <v>4.1000000000000002E-2</v>
      </c>
      <c r="O39" s="18">
        <v>0.25</v>
      </c>
      <c r="P39" s="15">
        <v>221.48</v>
      </c>
      <c r="Q39" s="17">
        <v>885.94</v>
      </c>
      <c r="R39" s="17">
        <v>354.375</v>
      </c>
      <c r="S39" s="17">
        <v>99.889530000000008</v>
      </c>
      <c r="T39" s="17">
        <f t="shared" si="2"/>
        <v>8.3241275000000012</v>
      </c>
      <c r="U39" s="17">
        <f t="shared" si="6"/>
        <v>99.889530000000008</v>
      </c>
      <c r="V39" s="17">
        <f t="shared" si="3"/>
        <v>1561.68453</v>
      </c>
      <c r="W39" s="58">
        <f t="shared" si="4"/>
        <v>1882.1759400000001</v>
      </c>
      <c r="X39" s="157">
        <f t="shared" si="5"/>
        <v>74.917147500000013</v>
      </c>
      <c r="Y39" s="75">
        <f t="shared" si="0"/>
        <v>1253.9928524999998</v>
      </c>
    </row>
    <row r="40" spans="1:26" x14ac:dyDescent="0.25">
      <c r="A40" s="153">
        <v>31</v>
      </c>
      <c r="B40" s="22" t="s">
        <v>318</v>
      </c>
      <c r="C40" s="222" t="s">
        <v>566</v>
      </c>
      <c r="D40" s="7" t="s">
        <v>120</v>
      </c>
      <c r="E40" s="7">
        <v>1</v>
      </c>
      <c r="F40" s="15">
        <v>2645.62</v>
      </c>
      <c r="G40" s="17"/>
      <c r="H40" s="17"/>
      <c r="I40" s="17"/>
      <c r="J40" s="21"/>
      <c r="K40" s="15">
        <f t="shared" si="1"/>
        <v>2645.62</v>
      </c>
      <c r="L40" s="98">
        <v>12</v>
      </c>
      <c r="M40" s="175"/>
      <c r="N40" s="80">
        <v>4.1000000000000002E-2</v>
      </c>
      <c r="O40" s="18">
        <v>0.25</v>
      </c>
      <c r="P40" s="15">
        <v>155.63</v>
      </c>
      <c r="Q40" s="17">
        <v>933.75</v>
      </c>
      <c r="R40" s="17">
        <v>373.5</v>
      </c>
      <c r="S40" s="17">
        <v>108.47042</v>
      </c>
      <c r="T40" s="17">
        <f t="shared" si="2"/>
        <v>9.039201666666667</v>
      </c>
      <c r="U40" s="17">
        <f t="shared" si="6"/>
        <v>108.47042</v>
      </c>
      <c r="V40" s="17">
        <f t="shared" si="3"/>
        <v>1571.3504200000002</v>
      </c>
      <c r="W40" s="58">
        <f t="shared" si="4"/>
        <v>2055.1791599999997</v>
      </c>
      <c r="X40" s="157">
        <f t="shared" si="5"/>
        <v>81.352815000000007</v>
      </c>
      <c r="Y40" s="75">
        <f t="shared" si="0"/>
        <v>1474.8871849999998</v>
      </c>
    </row>
    <row r="41" spans="1:26" x14ac:dyDescent="0.25">
      <c r="A41" s="153">
        <v>32</v>
      </c>
      <c r="B41" s="22" t="s">
        <v>318</v>
      </c>
      <c r="C41" s="222" t="s">
        <v>567</v>
      </c>
      <c r="D41" s="7" t="s">
        <v>121</v>
      </c>
      <c r="E41" s="7">
        <v>1</v>
      </c>
      <c r="F41" s="15">
        <v>3645.83</v>
      </c>
      <c r="G41" s="17"/>
      <c r="H41" s="17"/>
      <c r="I41" s="17"/>
      <c r="J41" s="21"/>
      <c r="K41" s="15">
        <f t="shared" si="1"/>
        <v>3645.83</v>
      </c>
      <c r="L41" s="98">
        <v>12</v>
      </c>
      <c r="M41" s="175"/>
      <c r="N41" s="80">
        <v>4.1000000000000002E-2</v>
      </c>
      <c r="O41" s="18">
        <v>0.25</v>
      </c>
      <c r="P41" s="15">
        <v>104.17</v>
      </c>
      <c r="Q41" s="17">
        <v>1250</v>
      </c>
      <c r="R41" s="17">
        <v>500</v>
      </c>
      <c r="S41" s="17">
        <v>149.47902999999999</v>
      </c>
      <c r="T41" s="17">
        <f t="shared" si="2"/>
        <v>12.456585833333333</v>
      </c>
      <c r="U41" s="17">
        <f t="shared" si="6"/>
        <v>149.47902999999999</v>
      </c>
      <c r="V41" s="17">
        <f t="shared" si="3"/>
        <v>2003.64903</v>
      </c>
      <c r="W41" s="58">
        <f t="shared" si="4"/>
        <v>2846.87194</v>
      </c>
      <c r="X41" s="157">
        <f t="shared" si="5"/>
        <v>112.1092725</v>
      </c>
      <c r="Y41" s="75">
        <f t="shared" si="0"/>
        <v>2179.5507275</v>
      </c>
    </row>
    <row r="42" spans="1:26" x14ac:dyDescent="0.25">
      <c r="A42" s="153">
        <v>33</v>
      </c>
      <c r="B42" s="22" t="s">
        <v>318</v>
      </c>
      <c r="C42" s="222" t="s">
        <v>568</v>
      </c>
      <c r="D42" s="7" t="s">
        <v>122</v>
      </c>
      <c r="E42" s="7">
        <v>1</v>
      </c>
      <c r="F42" s="15">
        <v>3000</v>
      </c>
      <c r="G42" s="17"/>
      <c r="H42" s="17"/>
      <c r="I42" s="17"/>
      <c r="J42" s="21"/>
      <c r="K42" s="15">
        <f t="shared" si="1"/>
        <v>3000</v>
      </c>
      <c r="L42" s="98">
        <v>12</v>
      </c>
      <c r="M42" s="175"/>
      <c r="N42" s="80">
        <v>4.1000000000000002E-2</v>
      </c>
      <c r="O42" s="18">
        <v>0.25</v>
      </c>
      <c r="P42" s="15">
        <v>0</v>
      </c>
      <c r="Q42" s="17">
        <v>1000</v>
      </c>
      <c r="R42" s="17">
        <v>400</v>
      </c>
      <c r="S42" s="17">
        <v>123</v>
      </c>
      <c r="T42" s="17">
        <f t="shared" si="2"/>
        <v>10.25</v>
      </c>
      <c r="U42" s="17">
        <f t="shared" si="6"/>
        <v>123</v>
      </c>
      <c r="V42" s="17">
        <f t="shared" si="3"/>
        <v>1523</v>
      </c>
      <c r="W42" s="58">
        <f t="shared" si="4"/>
        <v>2354</v>
      </c>
      <c r="X42" s="157">
        <f>+T42*9</f>
        <v>92.25</v>
      </c>
      <c r="Y42" s="75">
        <f t="shared" si="0"/>
        <v>1907.75</v>
      </c>
    </row>
    <row r="43" spans="1:26" x14ac:dyDescent="0.25">
      <c r="A43" s="257">
        <v>34</v>
      </c>
      <c r="B43" s="258" t="s">
        <v>312</v>
      </c>
      <c r="C43" s="141" t="s">
        <v>856</v>
      </c>
      <c r="D43" s="259" t="s">
        <v>301</v>
      </c>
      <c r="E43" s="259">
        <v>29</v>
      </c>
      <c r="F43" s="143">
        <v>32792289.920000002</v>
      </c>
      <c r="G43" s="260"/>
      <c r="H43" s="260"/>
      <c r="I43" s="260"/>
      <c r="J43" s="261"/>
      <c r="K43" s="143">
        <f t="shared" si="1"/>
        <v>32792289.920000002</v>
      </c>
      <c r="L43" s="262">
        <v>12</v>
      </c>
      <c r="M43" s="263"/>
      <c r="N43" s="264">
        <v>4.1000000000000002E-2</v>
      </c>
      <c r="O43" s="265">
        <v>0.25</v>
      </c>
      <c r="P43" s="260">
        <v>0</v>
      </c>
      <c r="Q43" s="261">
        <v>2325579.36</v>
      </c>
      <c r="R43" s="261">
        <v>877946.73200000008</v>
      </c>
      <c r="S43" s="261">
        <v>1344483.8867200001</v>
      </c>
      <c r="T43" s="260">
        <f>+U43/12</f>
        <v>112040.32389333333</v>
      </c>
      <c r="U43" s="260">
        <f>+K43*N43</f>
        <v>1344483.8867200001</v>
      </c>
      <c r="V43" s="260">
        <f t="shared" si="3"/>
        <v>4548009.97872</v>
      </c>
      <c r="W43" s="58">
        <f t="shared" si="4"/>
        <v>29225375.414559998</v>
      </c>
      <c r="X43" s="157">
        <f t="shared" si="5"/>
        <v>1008362.91504</v>
      </c>
      <c r="Y43" s="75">
        <f t="shared" si="0"/>
        <v>29458347.644960001</v>
      </c>
    </row>
    <row r="44" spans="1:26" x14ac:dyDescent="0.25">
      <c r="A44" s="153">
        <v>0</v>
      </c>
      <c r="B44" s="22" t="s">
        <v>312</v>
      </c>
      <c r="C44" s="222" t="s">
        <v>123</v>
      </c>
      <c r="D44" s="7" t="s">
        <v>123</v>
      </c>
      <c r="E44" s="7">
        <v>12</v>
      </c>
      <c r="F44" s="15">
        <v>0</v>
      </c>
      <c r="G44" s="17"/>
      <c r="H44" s="17"/>
      <c r="I44" s="17"/>
      <c r="J44" s="21"/>
      <c r="K44" s="15">
        <f t="shared" si="1"/>
        <v>0</v>
      </c>
      <c r="L44" s="98">
        <v>12</v>
      </c>
      <c r="M44" s="175"/>
      <c r="N44" s="80">
        <v>4.1000000000000002E-2</v>
      </c>
      <c r="O44" s="18">
        <v>0.25</v>
      </c>
      <c r="P44" s="17">
        <v>0</v>
      </c>
      <c r="Q44" s="27">
        <v>0</v>
      </c>
      <c r="R44" s="27">
        <v>0</v>
      </c>
      <c r="S44" s="27">
        <v>0</v>
      </c>
      <c r="T44" s="17">
        <f t="shared" si="2"/>
        <v>0</v>
      </c>
      <c r="U44" s="17">
        <f t="shared" si="6"/>
        <v>0</v>
      </c>
      <c r="V44" s="17">
        <f t="shared" si="3"/>
        <v>0</v>
      </c>
      <c r="W44" s="58">
        <f t="shared" si="4"/>
        <v>0</v>
      </c>
      <c r="X44" s="157">
        <f t="shared" si="5"/>
        <v>0</v>
      </c>
      <c r="Y44" s="75">
        <f t="shared" si="0"/>
        <v>0</v>
      </c>
    </row>
    <row r="45" spans="1:26" x14ac:dyDescent="0.25">
      <c r="A45" s="153">
        <v>0</v>
      </c>
      <c r="B45" s="22" t="s">
        <v>312</v>
      </c>
      <c r="C45" s="222" t="s">
        <v>124</v>
      </c>
      <c r="D45" s="7" t="s">
        <v>124</v>
      </c>
      <c r="E45" s="7">
        <v>12</v>
      </c>
      <c r="F45" s="15">
        <v>0</v>
      </c>
      <c r="G45" s="17"/>
      <c r="H45" s="17"/>
      <c r="I45" s="17"/>
      <c r="J45" s="21"/>
      <c r="K45" s="15">
        <f t="shared" si="1"/>
        <v>0</v>
      </c>
      <c r="L45" s="98">
        <v>12</v>
      </c>
      <c r="M45" s="175"/>
      <c r="N45" s="80">
        <v>4.1000000000000002E-2</v>
      </c>
      <c r="O45" s="18">
        <v>0.25</v>
      </c>
      <c r="P45" s="15">
        <v>0</v>
      </c>
      <c r="Q45" s="26">
        <v>0</v>
      </c>
      <c r="R45" s="26">
        <v>0</v>
      </c>
      <c r="S45" s="26">
        <v>0</v>
      </c>
      <c r="T45" s="17">
        <f t="shared" si="2"/>
        <v>0</v>
      </c>
      <c r="U45" s="17">
        <f t="shared" si="6"/>
        <v>0</v>
      </c>
      <c r="V45" s="17">
        <f t="shared" si="3"/>
        <v>0</v>
      </c>
      <c r="W45" s="58">
        <f t="shared" si="4"/>
        <v>0</v>
      </c>
      <c r="X45" s="157">
        <f t="shared" si="5"/>
        <v>0</v>
      </c>
      <c r="Y45" s="75">
        <f t="shared" si="0"/>
        <v>0</v>
      </c>
    </row>
    <row r="46" spans="1:26" x14ac:dyDescent="0.25">
      <c r="A46" s="153">
        <v>0</v>
      </c>
      <c r="B46" s="22" t="s">
        <v>312</v>
      </c>
      <c r="C46" s="222" t="s">
        <v>125</v>
      </c>
      <c r="D46" s="7" t="s">
        <v>125</v>
      </c>
      <c r="E46" s="7">
        <v>5</v>
      </c>
      <c r="F46" s="15">
        <v>0</v>
      </c>
      <c r="G46" s="17"/>
      <c r="H46" s="17"/>
      <c r="I46" s="17"/>
      <c r="J46" s="21"/>
      <c r="K46" s="15">
        <f t="shared" si="1"/>
        <v>0</v>
      </c>
      <c r="L46" s="98">
        <v>12</v>
      </c>
      <c r="M46" s="175"/>
      <c r="N46" s="80">
        <v>4.1000000000000002E-2</v>
      </c>
      <c r="O46" s="18">
        <v>0.25</v>
      </c>
      <c r="P46" s="15">
        <v>0</v>
      </c>
      <c r="Q46" s="26">
        <v>0</v>
      </c>
      <c r="R46" s="26">
        <v>0</v>
      </c>
      <c r="S46" s="26">
        <v>0</v>
      </c>
      <c r="T46" s="17">
        <f t="shared" si="2"/>
        <v>0</v>
      </c>
      <c r="U46" s="17">
        <f t="shared" si="6"/>
        <v>0</v>
      </c>
      <c r="V46" s="17">
        <f t="shared" si="3"/>
        <v>0</v>
      </c>
      <c r="W46" s="58">
        <f t="shared" si="4"/>
        <v>0</v>
      </c>
      <c r="X46" s="157">
        <f t="shared" si="5"/>
        <v>0</v>
      </c>
      <c r="Y46" s="75">
        <f t="shared" si="0"/>
        <v>0</v>
      </c>
    </row>
    <row r="47" spans="1:26" x14ac:dyDescent="0.25">
      <c r="A47" s="153">
        <v>35</v>
      </c>
      <c r="B47" s="22" t="s">
        <v>318</v>
      </c>
      <c r="C47" s="222" t="s">
        <v>569</v>
      </c>
      <c r="D47" s="7" t="s">
        <v>126</v>
      </c>
      <c r="E47" s="7">
        <v>1</v>
      </c>
      <c r="F47" s="17">
        <v>87500</v>
      </c>
      <c r="G47" s="17"/>
      <c r="I47" s="17"/>
      <c r="J47" s="21"/>
      <c r="K47" s="15">
        <f t="shared" si="1"/>
        <v>87500</v>
      </c>
      <c r="L47" s="98">
        <v>12</v>
      </c>
      <c r="M47" s="175"/>
      <c r="N47" s="80">
        <v>4.1000000000000002E-2</v>
      </c>
      <c r="O47" s="18">
        <v>0.25</v>
      </c>
      <c r="P47" s="15">
        <v>0</v>
      </c>
      <c r="Q47" s="26">
        <v>17500</v>
      </c>
      <c r="R47" s="26">
        <v>10500</v>
      </c>
      <c r="S47" s="26">
        <v>3587.5</v>
      </c>
      <c r="T47" s="17">
        <f t="shared" si="2"/>
        <v>298.95833333333331</v>
      </c>
      <c r="U47" s="17">
        <f t="shared" si="6"/>
        <v>3587.5</v>
      </c>
      <c r="V47" s="17">
        <f t="shared" si="3"/>
        <v>31587.5</v>
      </c>
      <c r="W47" s="58">
        <f t="shared" si="4"/>
        <v>69825</v>
      </c>
      <c r="X47" s="157">
        <f t="shared" si="5"/>
        <v>2690.625</v>
      </c>
      <c r="Y47" s="75">
        <f t="shared" si="0"/>
        <v>67309.375</v>
      </c>
    </row>
    <row r="48" spans="1:26" x14ac:dyDescent="0.25">
      <c r="A48" s="153">
        <v>36</v>
      </c>
      <c r="B48" s="22" t="s">
        <v>318</v>
      </c>
      <c r="C48" s="222" t="s">
        <v>570</v>
      </c>
      <c r="D48" s="7" t="s">
        <v>127</v>
      </c>
      <c r="E48" s="7">
        <v>1</v>
      </c>
      <c r="F48" s="17">
        <v>112102.97</v>
      </c>
      <c r="G48" s="17"/>
      <c r="I48" s="17"/>
      <c r="J48" s="21"/>
      <c r="K48" s="15">
        <f t="shared" si="1"/>
        <v>112102.97</v>
      </c>
      <c r="L48" s="98">
        <v>12</v>
      </c>
      <c r="M48" s="175"/>
      <c r="N48" s="80">
        <v>4.1000000000000002E-2</v>
      </c>
      <c r="O48" s="18">
        <v>0.25</v>
      </c>
      <c r="P48" s="15">
        <v>0</v>
      </c>
      <c r="Q48" s="17">
        <v>19139.53</v>
      </c>
      <c r="R48" s="17">
        <v>13124.25</v>
      </c>
      <c r="S48" s="17">
        <v>4596.2217700000001</v>
      </c>
      <c r="T48" s="17">
        <f t="shared" si="2"/>
        <v>383.01848083333334</v>
      </c>
      <c r="U48" s="17">
        <f t="shared" si="6"/>
        <v>4596.2217700000001</v>
      </c>
      <c r="V48" s="17">
        <f t="shared" si="3"/>
        <v>36860.001770000003</v>
      </c>
      <c r="W48" s="58">
        <f t="shared" si="4"/>
        <v>89786.276459999994</v>
      </c>
      <c r="X48" s="157">
        <f t="shared" si="5"/>
        <v>3447.1663275000001</v>
      </c>
      <c r="Y48" s="75">
        <f t="shared" si="0"/>
        <v>89516.2736725</v>
      </c>
      <c r="Z48" s="15"/>
    </row>
    <row r="49" spans="1:26" x14ac:dyDescent="0.25">
      <c r="A49" s="153">
        <v>37</v>
      </c>
      <c r="B49" s="22" t="s">
        <v>318</v>
      </c>
      <c r="C49" s="222" t="s">
        <v>556</v>
      </c>
      <c r="D49" s="7" t="s">
        <v>113</v>
      </c>
      <c r="E49" s="7">
        <v>1</v>
      </c>
      <c r="F49" s="17">
        <v>7562.5</v>
      </c>
      <c r="G49" s="17"/>
      <c r="I49" s="17"/>
      <c r="J49" s="21"/>
      <c r="K49" s="15">
        <f t="shared" si="1"/>
        <v>7562.5</v>
      </c>
      <c r="L49" s="98">
        <v>12</v>
      </c>
      <c r="M49" s="175"/>
      <c r="N49" s="80">
        <v>4.1000000000000002E-2</v>
      </c>
      <c r="O49" s="18">
        <v>0.25</v>
      </c>
      <c r="P49" s="15">
        <v>0</v>
      </c>
      <c r="Q49" s="17">
        <v>687.5</v>
      </c>
      <c r="R49" s="17">
        <v>825</v>
      </c>
      <c r="S49" s="17">
        <v>310.0625</v>
      </c>
      <c r="T49" s="17">
        <f t="shared" si="2"/>
        <v>25.838541666666668</v>
      </c>
      <c r="U49" s="17">
        <f t="shared" si="6"/>
        <v>310.0625</v>
      </c>
      <c r="V49" s="17">
        <f t="shared" si="3"/>
        <v>1822.5625</v>
      </c>
      <c r="W49" s="58">
        <f t="shared" si="4"/>
        <v>6117.375</v>
      </c>
      <c r="X49" s="157">
        <f t="shared" si="5"/>
        <v>232.546875</v>
      </c>
      <c r="Y49" s="75">
        <f t="shared" si="0"/>
        <v>6642.453125</v>
      </c>
      <c r="Z49" s="15"/>
    </row>
    <row r="50" spans="1:26" x14ac:dyDescent="0.25">
      <c r="A50" s="153">
        <v>38</v>
      </c>
      <c r="B50" s="22" t="s">
        <v>318</v>
      </c>
      <c r="C50" s="222" t="s">
        <v>571</v>
      </c>
      <c r="D50" s="7" t="s">
        <v>128</v>
      </c>
      <c r="E50" s="7">
        <v>1</v>
      </c>
      <c r="F50" s="17">
        <v>135278.32999999999</v>
      </c>
      <c r="G50" s="17"/>
      <c r="I50" s="17"/>
      <c r="J50" s="21"/>
      <c r="K50" s="15">
        <f t="shared" si="1"/>
        <v>135278.32999999999</v>
      </c>
      <c r="L50" s="98">
        <v>12</v>
      </c>
      <c r="M50" s="175"/>
      <c r="N50" s="80">
        <v>4.1000000000000002E-2</v>
      </c>
      <c r="O50" s="18">
        <v>0.25</v>
      </c>
      <c r="P50" s="15">
        <v>0</v>
      </c>
      <c r="Q50" s="17">
        <v>5881.67</v>
      </c>
      <c r="R50" s="17">
        <v>14116</v>
      </c>
      <c r="S50" s="17">
        <v>5546.4115299999994</v>
      </c>
      <c r="T50" s="17">
        <f>+U50/12</f>
        <v>462.20096083333328</v>
      </c>
      <c r="U50" s="17">
        <f t="shared" si="6"/>
        <v>5546.4115299999994</v>
      </c>
      <c r="V50" s="17">
        <f t="shared" si="3"/>
        <v>25544.081529999996</v>
      </c>
      <c r="W50" s="58">
        <f t="shared" si="4"/>
        <v>110069.50693999999</v>
      </c>
      <c r="X50" s="157">
        <f t="shared" si="5"/>
        <v>4159.8086475</v>
      </c>
      <c r="Y50" s="75">
        <f t="shared" si="0"/>
        <v>125236.85135249999</v>
      </c>
      <c r="Z50" s="15"/>
    </row>
    <row r="51" spans="1:26" x14ac:dyDescent="0.25">
      <c r="A51" s="153">
        <v>39</v>
      </c>
      <c r="B51" s="22" t="s">
        <v>318</v>
      </c>
      <c r="C51" s="223" t="s">
        <v>572</v>
      </c>
      <c r="D51" s="7" t="s">
        <v>266</v>
      </c>
      <c r="E51" s="99"/>
      <c r="F51" s="17">
        <v>21970</v>
      </c>
      <c r="G51" s="101"/>
      <c r="H51" s="79"/>
      <c r="I51" s="79"/>
      <c r="J51" s="100"/>
      <c r="K51" s="15">
        <f t="shared" si="1"/>
        <v>21970</v>
      </c>
      <c r="L51" s="98">
        <v>10</v>
      </c>
      <c r="M51" s="175"/>
      <c r="N51" s="80">
        <v>4.1000000000000002E-2</v>
      </c>
      <c r="O51" s="18">
        <v>0</v>
      </c>
      <c r="P51" s="15">
        <v>0</v>
      </c>
      <c r="Q51" s="79"/>
      <c r="R51" s="17">
        <v>1830.8333333333335</v>
      </c>
      <c r="S51" s="17">
        <v>900.77</v>
      </c>
      <c r="T51" s="17">
        <f>+U51/12</f>
        <v>75.064166666666665</v>
      </c>
      <c r="U51" s="17">
        <f t="shared" si="6"/>
        <v>900.77</v>
      </c>
      <c r="V51" s="17">
        <f t="shared" si="3"/>
        <v>2731.6033333333335</v>
      </c>
      <c r="W51" s="58">
        <f t="shared" si="4"/>
        <v>18337.626666666667</v>
      </c>
      <c r="X51" s="158">
        <f t="shared" ref="X51:X53" si="7">+T51*9</f>
        <v>675.57749999999999</v>
      </c>
      <c r="Y51" s="75">
        <f t="shared" si="0"/>
        <v>21294.422500000001</v>
      </c>
    </row>
    <row r="52" spans="1:26" x14ac:dyDescent="0.25">
      <c r="A52" s="153">
        <v>40</v>
      </c>
      <c r="B52" s="22" t="s">
        <v>314</v>
      </c>
      <c r="C52" s="222" t="s">
        <v>573</v>
      </c>
      <c r="D52" s="7" t="s">
        <v>302</v>
      </c>
      <c r="E52" s="99"/>
      <c r="F52" s="17">
        <v>2907461.2439999999</v>
      </c>
      <c r="G52" s="17"/>
      <c r="H52" s="17"/>
      <c r="I52" s="17"/>
      <c r="J52" s="17"/>
      <c r="K52" s="15">
        <f t="shared" si="1"/>
        <v>2907461.2439999999</v>
      </c>
      <c r="L52" s="98">
        <v>12</v>
      </c>
      <c r="M52" s="175"/>
      <c r="N52" s="80">
        <v>4.1000000000000002E-2</v>
      </c>
      <c r="O52" s="18">
        <v>0.05</v>
      </c>
      <c r="P52" s="104">
        <v>0</v>
      </c>
      <c r="Q52" s="26">
        <v>153024.27600000001</v>
      </c>
      <c r="R52" s="26">
        <v>76512.138000000006</v>
      </c>
      <c r="S52" s="26">
        <v>119205.91100400001</v>
      </c>
      <c r="T52" s="26">
        <f>+U52/12</f>
        <v>9933.8259170000001</v>
      </c>
      <c r="U52" s="26">
        <f>+F52*N52</f>
        <v>119205.91100400001</v>
      </c>
      <c r="V52" s="17">
        <f t="shared" si="3"/>
        <v>348742.32500400004</v>
      </c>
      <c r="W52" s="58">
        <f t="shared" si="4"/>
        <v>2592537.2839920004</v>
      </c>
      <c r="X52" s="57">
        <f>+T52*9</f>
        <v>89404.433252999996</v>
      </c>
      <c r="Y52" s="75">
        <f t="shared" si="0"/>
        <v>2665032.5347469999</v>
      </c>
    </row>
    <row r="53" spans="1:26" x14ac:dyDescent="0.25">
      <c r="A53" s="153">
        <v>41</v>
      </c>
      <c r="B53" s="22" t="s">
        <v>315</v>
      </c>
      <c r="C53" s="222" t="s">
        <v>574</v>
      </c>
      <c r="D53" s="7" t="s">
        <v>303</v>
      </c>
      <c r="E53" s="99"/>
      <c r="F53" s="17">
        <v>1954538.892</v>
      </c>
      <c r="G53" s="17"/>
      <c r="H53" s="17"/>
      <c r="I53" s="17"/>
      <c r="J53" s="17"/>
      <c r="K53" s="15">
        <f t="shared" si="1"/>
        <v>1954538.892</v>
      </c>
      <c r="L53" s="98">
        <v>12</v>
      </c>
      <c r="M53" s="175"/>
      <c r="N53" s="80">
        <v>4.1000000000000002E-2</v>
      </c>
      <c r="O53" s="18">
        <v>0.05</v>
      </c>
      <c r="P53" s="104">
        <v>0</v>
      </c>
      <c r="Q53" s="26">
        <v>102870.46800000001</v>
      </c>
      <c r="R53" s="26">
        <v>51435.234000000004</v>
      </c>
      <c r="S53" s="26">
        <v>80136.094572000002</v>
      </c>
      <c r="T53" s="26">
        <f>+U53/12</f>
        <v>6678.0078810000005</v>
      </c>
      <c r="U53" s="26">
        <f>+F53*N53</f>
        <v>80136.094572000002</v>
      </c>
      <c r="V53" s="17">
        <f t="shared" si="3"/>
        <v>234441.79657200002</v>
      </c>
      <c r="W53" s="58">
        <f t="shared" si="4"/>
        <v>1742831.4688560001</v>
      </c>
      <c r="X53" s="57">
        <f t="shared" si="7"/>
        <v>60102.070929000001</v>
      </c>
      <c r="Y53" s="75">
        <f t="shared" si="0"/>
        <v>1791566.353071</v>
      </c>
    </row>
    <row r="54" spans="1:26" x14ac:dyDescent="0.25">
      <c r="A54" s="227">
        <v>42</v>
      </c>
      <c r="B54" s="167" t="s">
        <v>316</v>
      </c>
      <c r="C54" s="223" t="s">
        <v>575</v>
      </c>
      <c r="D54" s="149" t="s">
        <v>304</v>
      </c>
      <c r="E54" s="149"/>
      <c r="F54" s="26">
        <v>509664.64499999996</v>
      </c>
      <c r="G54" s="26"/>
      <c r="H54" s="26"/>
      <c r="I54" s="26"/>
      <c r="J54" s="26"/>
      <c r="K54" s="104">
        <f t="shared" si="1"/>
        <v>509664.64499999996</v>
      </c>
      <c r="L54" s="250">
        <v>12</v>
      </c>
      <c r="M54" s="252"/>
      <c r="N54" s="247">
        <v>4.1000000000000002E-2</v>
      </c>
      <c r="O54" s="150">
        <v>0.05</v>
      </c>
      <c r="P54" s="104">
        <v>0</v>
      </c>
      <c r="Q54" s="26">
        <v>26824.455000000002</v>
      </c>
      <c r="R54" s="26">
        <v>13412.227500000001</v>
      </c>
      <c r="S54" s="26">
        <v>20896.250444999998</v>
      </c>
      <c r="T54" s="26">
        <f t="shared" ref="T54:T60" si="8">+U54/12</f>
        <v>1741.3542037499999</v>
      </c>
      <c r="U54" s="26">
        <f>+F54*N54</f>
        <v>20896.250444999998</v>
      </c>
      <c r="V54" s="17">
        <f t="shared" si="3"/>
        <v>61132.932945</v>
      </c>
      <c r="W54" s="58">
        <f t="shared" si="4"/>
        <v>454459.91660999996</v>
      </c>
      <c r="X54" s="57">
        <f t="shared" ref="X54:X56" si="9">+T54*9</f>
        <v>15672.187833749998</v>
      </c>
      <c r="Y54" s="75">
        <f t="shared" si="0"/>
        <v>467168.00216624996</v>
      </c>
    </row>
    <row r="55" spans="1:26" x14ac:dyDescent="0.25">
      <c r="A55" s="227">
        <v>43</v>
      </c>
      <c r="B55" s="167" t="s">
        <v>317</v>
      </c>
      <c r="C55" s="223" t="s">
        <v>576</v>
      </c>
      <c r="D55" s="149" t="s">
        <v>305</v>
      </c>
      <c r="E55" s="149"/>
      <c r="F55" s="26">
        <v>21985183.518000003</v>
      </c>
      <c r="G55" s="26"/>
      <c r="H55" s="26"/>
      <c r="I55" s="26"/>
      <c r="J55" s="26"/>
      <c r="K55" s="104">
        <f t="shared" si="1"/>
        <v>21985183.518000003</v>
      </c>
      <c r="L55" s="250">
        <v>12</v>
      </c>
      <c r="M55" s="252"/>
      <c r="N55" s="247">
        <v>4.1000000000000002E-2</v>
      </c>
      <c r="O55" s="150">
        <v>0.05</v>
      </c>
      <c r="P55" s="104">
        <v>0</v>
      </c>
      <c r="Q55" s="26">
        <v>1157114.922</v>
      </c>
      <c r="R55" s="26">
        <v>578557.46100000001</v>
      </c>
      <c r="S55" s="26">
        <v>901392.52423800016</v>
      </c>
      <c r="T55" s="26">
        <f t="shared" si="8"/>
        <v>75116.043686500008</v>
      </c>
      <c r="U55" s="26">
        <f>+F55*N55</f>
        <v>901392.52423800016</v>
      </c>
      <c r="V55" s="17">
        <f t="shared" si="3"/>
        <v>2637064.9072380001</v>
      </c>
      <c r="W55" s="58">
        <f t="shared" si="4"/>
        <v>19603841.008524001</v>
      </c>
      <c r="X55" s="57">
        <f t="shared" si="9"/>
        <v>676044.39317850012</v>
      </c>
      <c r="Y55" s="75">
        <f t="shared" si="0"/>
        <v>20152024.202821504</v>
      </c>
    </row>
    <row r="56" spans="1:26" s="25" customFormat="1" x14ac:dyDescent="0.25">
      <c r="A56" s="227">
        <v>44</v>
      </c>
      <c r="B56" s="167" t="s">
        <v>428</v>
      </c>
      <c r="C56" s="223" t="s">
        <v>801</v>
      </c>
      <c r="D56" s="149" t="s">
        <v>429</v>
      </c>
      <c r="E56" s="149"/>
      <c r="F56" s="26"/>
      <c r="G56" s="26"/>
      <c r="H56" s="26">
        <f>+'CEDAR 034'!K12</f>
        <v>19641126.48</v>
      </c>
      <c r="I56" s="26"/>
      <c r="J56" s="26"/>
      <c r="K56" s="104">
        <f>+F56+H56</f>
        <v>19641126.48</v>
      </c>
      <c r="L56" s="250">
        <v>2</v>
      </c>
      <c r="M56" s="247">
        <v>3.3300000000000003E-2</v>
      </c>
      <c r="N56" s="247"/>
      <c r="O56" s="150"/>
      <c r="P56" s="104">
        <v>0</v>
      </c>
      <c r="Q56" s="26">
        <v>0</v>
      </c>
      <c r="R56" s="26">
        <v>0</v>
      </c>
      <c r="S56" s="26">
        <v>109008.25196400001</v>
      </c>
      <c r="T56" s="26">
        <f t="shared" si="8"/>
        <v>54504.125982000005</v>
      </c>
      <c r="U56" s="26">
        <f>+K56*M56</f>
        <v>654049.51178400009</v>
      </c>
      <c r="V56" s="17">
        <f>+P56+Q56+R56+U56</f>
        <v>654049.51178400009</v>
      </c>
      <c r="W56" s="58">
        <f t="shared" si="4"/>
        <v>18878068.716252003</v>
      </c>
      <c r="X56" s="171">
        <f t="shared" si="9"/>
        <v>490537.13383800007</v>
      </c>
      <c r="Y56" s="171"/>
    </row>
    <row r="57" spans="1:26" s="25" customFormat="1" x14ac:dyDescent="0.25">
      <c r="A57" s="227">
        <v>45</v>
      </c>
      <c r="B57" s="167" t="s">
        <v>434</v>
      </c>
      <c r="C57" s="223" t="s">
        <v>802</v>
      </c>
      <c r="D57" s="149" t="s">
        <v>435</v>
      </c>
      <c r="E57" s="149"/>
      <c r="F57" s="26"/>
      <c r="G57" s="26"/>
      <c r="H57" s="26">
        <f>+'CEDAR 034'!K13+'CEDAR 034'!K20+'CEDAR 034'!K21+'CEDAR 034'!K22+'CEDAR 034'!K23+'CEDAR 034'!K24</f>
        <v>6969800.2000000002</v>
      </c>
      <c r="I57" s="26"/>
      <c r="J57" s="26"/>
      <c r="K57" s="104">
        <f t="shared" si="1"/>
        <v>6969800.2000000002</v>
      </c>
      <c r="L57" s="250">
        <v>6</v>
      </c>
      <c r="M57" s="247">
        <v>3.3300000000000003E-2</v>
      </c>
      <c r="N57" s="247"/>
      <c r="O57" s="150"/>
      <c r="P57" s="104"/>
      <c r="Q57" s="26">
        <v>0</v>
      </c>
      <c r="R57" s="26">
        <v>0</v>
      </c>
      <c r="S57" s="26">
        <v>116047.17333000002</v>
      </c>
      <c r="T57" s="26">
        <f t="shared" si="8"/>
        <v>19341.195555000002</v>
      </c>
      <c r="U57" s="26">
        <f>+K57*M57</f>
        <v>232094.34666000004</v>
      </c>
      <c r="V57" s="17">
        <f>+P57+Q57+R57+U57</f>
        <v>232094.34666000004</v>
      </c>
      <c r="W57" s="58">
        <f t="shared" si="4"/>
        <v>6621658.6800100002</v>
      </c>
      <c r="X57" s="171"/>
      <c r="Y57" s="171"/>
    </row>
    <row r="58" spans="1:26" s="25" customFormat="1" x14ac:dyDescent="0.25">
      <c r="A58" s="227">
        <v>46</v>
      </c>
      <c r="B58" s="167" t="s">
        <v>436</v>
      </c>
      <c r="C58" s="223" t="s">
        <v>803</v>
      </c>
      <c r="D58" s="149" t="s">
        <v>437</v>
      </c>
      <c r="E58" s="149"/>
      <c r="F58" s="26"/>
      <c r="G58" s="26"/>
      <c r="H58" s="26">
        <f>+'CEDAR 034'!K14</f>
        <v>764327.75</v>
      </c>
      <c r="I58" s="26"/>
      <c r="J58" s="26"/>
      <c r="K58" s="104">
        <f t="shared" si="1"/>
        <v>764327.75</v>
      </c>
      <c r="L58" s="250">
        <v>2</v>
      </c>
      <c r="M58" s="247">
        <v>3.3300000000000003E-2</v>
      </c>
      <c r="N58" s="247"/>
      <c r="O58" s="150"/>
      <c r="P58" s="104"/>
      <c r="Q58" s="26">
        <v>0</v>
      </c>
      <c r="R58" s="26">
        <v>0</v>
      </c>
      <c r="S58" s="26">
        <v>4242.0190124999999</v>
      </c>
      <c r="T58" s="26">
        <f t="shared" si="8"/>
        <v>2121.00950625</v>
      </c>
      <c r="U58" s="26">
        <f>+K58*M58</f>
        <v>25452.114075000001</v>
      </c>
      <c r="V58" s="17">
        <f>+P58+Q58+R58+U58</f>
        <v>25452.114075000001</v>
      </c>
      <c r="W58" s="58">
        <f t="shared" si="4"/>
        <v>734633.6169125</v>
      </c>
      <c r="X58" s="171"/>
      <c r="Y58" s="171"/>
    </row>
    <row r="59" spans="1:26" s="25" customFormat="1" x14ac:dyDescent="0.25">
      <c r="A59" s="227">
        <v>47</v>
      </c>
      <c r="B59" s="167" t="s">
        <v>459</v>
      </c>
      <c r="C59" s="227" t="s">
        <v>405</v>
      </c>
      <c r="D59" s="149" t="s">
        <v>460</v>
      </c>
      <c r="E59" s="149"/>
      <c r="F59" s="26"/>
      <c r="G59" s="26"/>
      <c r="H59" s="26">
        <v>80595169.099999994</v>
      </c>
      <c r="I59" s="26"/>
      <c r="J59" s="26"/>
      <c r="K59" s="104">
        <f t="shared" si="1"/>
        <v>80595169.099999994</v>
      </c>
      <c r="L59" s="250">
        <v>10</v>
      </c>
      <c r="M59" s="247">
        <v>3.3300000000000003E-2</v>
      </c>
      <c r="N59" s="247"/>
      <c r="O59" s="150"/>
      <c r="P59" s="104">
        <v>0</v>
      </c>
      <c r="Q59" s="26">
        <v>0</v>
      </c>
      <c r="R59" s="26">
        <v>0</v>
      </c>
      <c r="S59" s="26">
        <v>2236515.9425250003</v>
      </c>
      <c r="T59" s="26">
        <f>+U59/12</f>
        <v>223651.59425250001</v>
      </c>
      <c r="U59" s="26">
        <f>+K59*M59</f>
        <v>2683819.1310300003</v>
      </c>
      <c r="V59" s="17">
        <f>+U59</f>
        <v>2683819.1310300003</v>
      </c>
      <c r="W59" s="58">
        <f t="shared" si="4"/>
        <v>75674834.026445001</v>
      </c>
      <c r="X59" s="171"/>
      <c r="Y59" s="171"/>
    </row>
    <row r="60" spans="1:26" s="25" customFormat="1" x14ac:dyDescent="0.25">
      <c r="A60" s="227">
        <v>48</v>
      </c>
      <c r="B60" s="167" t="s">
        <v>459</v>
      </c>
      <c r="C60" s="227" t="s">
        <v>405</v>
      </c>
      <c r="D60" s="149" t="s">
        <v>461</v>
      </c>
      <c r="E60" s="149"/>
      <c r="F60" s="26"/>
      <c r="G60" s="26"/>
      <c r="H60" s="26">
        <f>+'CEDAR 034'!K32+'CEDAR 034'!K33+'CEDAR 034'!K34+'CEDAR 034'!K35-'CEDAR 034'!T34-80595169.1</f>
        <v>11831610.299999997</v>
      </c>
      <c r="I60" s="26"/>
      <c r="J60" s="26"/>
      <c r="K60" s="104">
        <f>+F60+H60</f>
        <v>11831610.299999997</v>
      </c>
      <c r="L60" s="250">
        <v>10</v>
      </c>
      <c r="M60" s="247">
        <v>3.3300000000000003E-2</v>
      </c>
      <c r="N60" s="247"/>
      <c r="O60" s="150"/>
      <c r="P60" s="104">
        <v>0</v>
      </c>
      <c r="Q60" s="26">
        <v>0</v>
      </c>
      <c r="R60" s="26">
        <v>0</v>
      </c>
      <c r="S60" s="26">
        <v>328327.18582499999</v>
      </c>
      <c r="T60" s="26">
        <f t="shared" si="8"/>
        <v>32832.718582499998</v>
      </c>
      <c r="U60" s="26">
        <f>+K60*M60</f>
        <v>393992.62298999995</v>
      </c>
      <c r="V60" s="17">
        <f>+U60</f>
        <v>393992.62298999995</v>
      </c>
      <c r="W60" s="58">
        <f t="shared" si="4"/>
        <v>11109290.491184998</v>
      </c>
      <c r="X60" s="171"/>
      <c r="Y60" s="171"/>
    </row>
    <row r="61" spans="1:26" ht="15.75" thickBot="1" x14ac:dyDescent="0.3">
      <c r="A61" s="227"/>
      <c r="B61" s="167"/>
      <c r="C61" s="167"/>
      <c r="D61" s="149"/>
      <c r="E61" s="149"/>
      <c r="F61" s="26"/>
      <c r="G61" s="26"/>
      <c r="H61" s="26"/>
      <c r="I61" s="26"/>
      <c r="J61" s="26"/>
      <c r="K61" s="104">
        <f t="shared" si="1"/>
        <v>0</v>
      </c>
      <c r="L61" s="250"/>
      <c r="M61" s="252"/>
      <c r="N61" s="247"/>
      <c r="O61" s="150"/>
      <c r="P61" s="104"/>
      <c r="Q61" s="26"/>
      <c r="R61" s="26"/>
      <c r="S61" s="26"/>
      <c r="T61" s="26"/>
      <c r="U61" s="26"/>
      <c r="V61" s="17"/>
      <c r="W61" s="159"/>
      <c r="X61" s="57"/>
      <c r="Y61" s="57"/>
    </row>
    <row r="62" spans="1:26" ht="16.5" thickTop="1" thickBot="1" x14ac:dyDescent="0.3">
      <c r="A62" s="298" t="s">
        <v>12</v>
      </c>
      <c r="B62" s="298"/>
      <c r="C62" s="298"/>
      <c r="D62" s="298"/>
      <c r="E62" s="298"/>
      <c r="F62" s="117">
        <f>SUM(F10:F61)</f>
        <v>65513412.729000002</v>
      </c>
      <c r="G62" s="117"/>
      <c r="H62" s="117">
        <f>SUM(H10:H61)</f>
        <v>119802033.83</v>
      </c>
      <c r="I62" s="117"/>
      <c r="J62" s="117"/>
      <c r="K62" s="124">
        <f>SUM(K10:K61)</f>
        <v>185315446.55900002</v>
      </c>
      <c r="L62" s="118"/>
      <c r="M62" s="118"/>
      <c r="N62" s="118"/>
      <c r="O62" s="118"/>
      <c r="P62" s="117">
        <f>SUM(P10:P61)</f>
        <v>27797652.370000001</v>
      </c>
      <c r="Q62" s="117">
        <f t="shared" ref="Q62:R62" si="10">SUM(Q10:Q61)</f>
        <v>8070409.8710000012</v>
      </c>
      <c r="R62" s="117">
        <f t="shared" si="10"/>
        <v>2682647.2918333337</v>
      </c>
      <c r="S62" s="117">
        <f>SUM(S10:S61)</f>
        <v>5466675.2545455005</v>
      </c>
      <c r="T62" s="117">
        <f>SUM(T10:T61)</f>
        <v>555161.86736899999</v>
      </c>
      <c r="U62" s="124">
        <f>SUM(U10:U61)</f>
        <v>6661942.4084280012</v>
      </c>
      <c r="V62" s="124">
        <f>SUM(V10:V61)</f>
        <v>45212651.941261321</v>
      </c>
      <c r="W62" s="124">
        <f>SUM(W10:W61)</f>
        <v>170504181.60419318</v>
      </c>
      <c r="X62" s="117">
        <f>SUM(X10:X56)</f>
        <v>2494938.1452547503</v>
      </c>
      <c r="Y62" s="117">
        <f>SUM(Y10:Y55)</f>
        <v>27640949.476583265</v>
      </c>
    </row>
    <row r="63" spans="1:26" ht="16.5" thickTop="1" thickBot="1" x14ac:dyDescent="0.3">
      <c r="A63" s="296" t="s">
        <v>344</v>
      </c>
      <c r="B63" s="297"/>
      <c r="C63" s="297"/>
      <c r="D63" s="297"/>
      <c r="E63" s="297"/>
      <c r="F63" s="121">
        <f>+F62</f>
        <v>65513412.729000002</v>
      </c>
      <c r="G63" s="121"/>
      <c r="H63" s="121">
        <f>+H62</f>
        <v>119802033.83</v>
      </c>
      <c r="I63" s="121"/>
      <c r="J63" s="121"/>
      <c r="K63" s="121">
        <f>+F63+H63</f>
        <v>185315446.55900002</v>
      </c>
      <c r="L63" s="119"/>
      <c r="M63" s="119"/>
      <c r="N63" s="119"/>
      <c r="O63" s="119"/>
      <c r="P63" s="121">
        <f>P62</f>
        <v>27797652.370000001</v>
      </c>
      <c r="Q63" s="121">
        <f>Q62</f>
        <v>8070409.8710000012</v>
      </c>
      <c r="R63" s="121">
        <f>R62</f>
        <v>2682647.2918333337</v>
      </c>
      <c r="S63" s="121"/>
      <c r="T63" s="121"/>
      <c r="U63" s="121"/>
      <c r="V63" s="121">
        <f>+V62</f>
        <v>45212651.941261321</v>
      </c>
      <c r="W63" s="120">
        <f>+W62</f>
        <v>170504181.60419318</v>
      </c>
    </row>
    <row r="64" spans="1:26" ht="16.5" thickTop="1" thickBot="1" x14ac:dyDescent="0.3">
      <c r="A64" s="293" t="s">
        <v>291</v>
      </c>
      <c r="B64" s="294"/>
      <c r="C64" s="294"/>
      <c r="D64" s="294"/>
      <c r="E64" s="295"/>
      <c r="F64" s="116">
        <f>+F62-F63</f>
        <v>0</v>
      </c>
      <c r="G64" s="122"/>
      <c r="H64" s="123">
        <f>+H62-H63</f>
        <v>0</v>
      </c>
      <c r="I64" s="122"/>
      <c r="J64" s="122"/>
      <c r="K64" s="116">
        <f>+K62-K63</f>
        <v>0</v>
      </c>
      <c r="L64" s="288"/>
      <c r="M64" s="289"/>
      <c r="N64" s="289"/>
      <c r="O64" s="290"/>
      <c r="P64" s="116">
        <f>+P62-P63</f>
        <v>0</v>
      </c>
      <c r="Q64" s="116">
        <f>+Q62-Q63</f>
        <v>0</v>
      </c>
      <c r="R64" s="116">
        <f>+R62-R63</f>
        <v>0</v>
      </c>
      <c r="S64" s="116"/>
      <c r="T64" s="122"/>
      <c r="U64" s="122"/>
      <c r="V64" s="116">
        <f>+V62-V63</f>
        <v>0</v>
      </c>
      <c r="W64" s="116">
        <f>+W62-W63</f>
        <v>0</v>
      </c>
    </row>
    <row r="65" spans="1:23" ht="16.5" hidden="1" customHeight="1" thickTop="1" thickBot="1" x14ac:dyDescent="0.3">
      <c r="A65" s="165" t="s">
        <v>306</v>
      </c>
      <c r="F65" s="15"/>
      <c r="H65" s="15"/>
      <c r="Q65" s="15"/>
      <c r="R65" s="15"/>
      <c r="S65" s="15"/>
    </row>
    <row r="66" spans="1:23" ht="15.75" hidden="1" customHeight="1" thickTop="1" x14ac:dyDescent="0.25">
      <c r="A66" s="165" t="s">
        <v>307</v>
      </c>
      <c r="F66" s="15"/>
      <c r="H66" s="15"/>
      <c r="K66" s="15"/>
      <c r="U66" s="126"/>
      <c r="V66" s="15"/>
    </row>
    <row r="67" spans="1:23" ht="15.75" hidden="1" customHeight="1" thickTop="1" x14ac:dyDescent="0.25">
      <c r="F67" s="15"/>
      <c r="H67" s="15"/>
      <c r="Q67" s="15"/>
      <c r="R67" s="15"/>
      <c r="S67" s="15"/>
      <c r="T67" s="15"/>
      <c r="W67" s="15"/>
    </row>
    <row r="68" spans="1:23" ht="15.75" hidden="1" customHeight="1" thickTop="1" x14ac:dyDescent="0.25">
      <c r="D68" s="299" t="s">
        <v>456</v>
      </c>
      <c r="E68" s="299"/>
      <c r="G68" s="125" t="s">
        <v>451</v>
      </c>
      <c r="W68" s="15"/>
    </row>
    <row r="69" spans="1:23" ht="15.75" hidden="1" customHeight="1" thickTop="1" x14ac:dyDescent="0.25">
      <c r="D69" s="65" t="s">
        <v>132</v>
      </c>
      <c r="E69" s="15">
        <v>103524058.61</v>
      </c>
      <c r="F69" s="65" t="s">
        <v>132</v>
      </c>
      <c r="G69" s="15">
        <f>211494482.14+11831610.3</f>
        <v>223326092.44</v>
      </c>
      <c r="H69" s="15"/>
      <c r="K69" s="15"/>
      <c r="W69" s="15"/>
    </row>
    <row r="70" spans="1:23" ht="15.75" hidden="1" customHeight="1" thickTop="1" x14ac:dyDescent="0.25">
      <c r="D70" s="65" t="s">
        <v>458</v>
      </c>
      <c r="E70" s="15">
        <f>38550709.53+1467298.4</f>
        <v>40018007.93</v>
      </c>
      <c r="F70" s="65" t="s">
        <v>458</v>
      </c>
      <c r="G70" s="15">
        <f>40116270.69+1467298.4-1565561.16</f>
        <v>40018007.93</v>
      </c>
    </row>
    <row r="71" spans="1:23" ht="15.75" hidden="1" customHeight="1" thickTop="1" x14ac:dyDescent="0.25">
      <c r="D71" s="179" t="s">
        <v>455</v>
      </c>
      <c r="E71" s="15">
        <f>+R62+'CEDAR 030,111'!Q77+'CEDAR 030,111 - prebačeno'!Q29</f>
        <v>2795325.3563333335</v>
      </c>
      <c r="F71" s="179" t="s">
        <v>457</v>
      </c>
      <c r="G71" s="15">
        <f>+U62+'CEDAR 030,111'!T77+'CEDAR 030,111 - prebačeno'!T29</f>
        <v>6789797.7523920015</v>
      </c>
    </row>
    <row r="72" spans="1:23" ht="15.75" hidden="1" customHeight="1" thickTop="1" x14ac:dyDescent="0.25">
      <c r="D72" s="185" t="s">
        <v>283</v>
      </c>
      <c r="E72" s="15">
        <f>+E69-E70+E71</f>
        <v>66301376.03633333</v>
      </c>
      <c r="F72" s="141" t="s">
        <v>454</v>
      </c>
      <c r="G72" s="143">
        <f>+G69-G70-G71-W62-'CEDAR 030,111'!V77-'CEDAR 030,111 - prebačeno'!V29</f>
        <v>5585466.676594316</v>
      </c>
    </row>
    <row r="73" spans="1:23" ht="15.75" hidden="1" customHeight="1" thickTop="1" x14ac:dyDescent="0.25">
      <c r="D73" s="179" t="s">
        <v>454</v>
      </c>
      <c r="E73" s="15">
        <f>+F62+'CEDAR 030,111'!K77+'CEDAR 030,111 - prebačeno'!K29-E72</f>
        <v>8149.8826666772366</v>
      </c>
      <c r="G73" s="15"/>
    </row>
    <row r="74" spans="1:23" ht="15.75" hidden="1" customHeight="1" thickTop="1" x14ac:dyDescent="0.25">
      <c r="E74" s="15"/>
    </row>
    <row r="75" spans="1:23" ht="15.75" hidden="1" customHeight="1" thickTop="1" x14ac:dyDescent="0.25">
      <c r="E75" s="15"/>
      <c r="F75" s="15"/>
    </row>
    <row r="76" spans="1:23" ht="15.75" thickTop="1" x14ac:dyDescent="0.25">
      <c r="E76" s="15"/>
      <c r="F76" s="15"/>
      <c r="G76" s="15"/>
      <c r="H76" s="15"/>
    </row>
    <row r="77" spans="1:23" x14ac:dyDescent="0.25">
      <c r="F77" s="15"/>
      <c r="S77" s="15"/>
      <c r="U77" s="15"/>
    </row>
  </sheetData>
  <mergeCells count="30">
    <mergeCell ref="D68:E68"/>
    <mergeCell ref="A62:E62"/>
    <mergeCell ref="A63:E63"/>
    <mergeCell ref="A64:E64"/>
    <mergeCell ref="L64:O64"/>
    <mergeCell ref="X6:X8"/>
    <mergeCell ref="R7:R8"/>
    <mergeCell ref="M6:O7"/>
    <mergeCell ref="Y6:Y8"/>
    <mergeCell ref="T7:T8"/>
    <mergeCell ref="P6:V6"/>
    <mergeCell ref="P7:P8"/>
    <mergeCell ref="V7:V8"/>
    <mergeCell ref="Q7:Q8"/>
    <mergeCell ref="U7:U8"/>
    <mergeCell ref="A3:W3"/>
    <mergeCell ref="A4:W4"/>
    <mergeCell ref="A6:A8"/>
    <mergeCell ref="B6:B8"/>
    <mergeCell ref="D6:D8"/>
    <mergeCell ref="E6:E8"/>
    <mergeCell ref="F6:F8"/>
    <mergeCell ref="G6:H7"/>
    <mergeCell ref="I6:I8"/>
    <mergeCell ref="J6:J8"/>
    <mergeCell ref="K6:K8"/>
    <mergeCell ref="L6:L8"/>
    <mergeCell ref="W6:W8"/>
    <mergeCell ref="C6:C8"/>
    <mergeCell ref="S7:S8"/>
  </mergeCells>
  <pageMargins left="0.25" right="0.25" top="0.75" bottom="0.75" header="0.3" footer="0.3"/>
  <pageSetup paperSize="9" scale="45" orientation="landscape" r:id="rId1"/>
  <rowBreaks count="1" manualBreakCount="1">
    <brk id="35" max="16383" man="1"/>
  </rowBreaks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Z88"/>
  <sheetViews>
    <sheetView topLeftCell="A49" zoomScale="98" zoomScaleNormal="98" workbookViewId="0">
      <selection activeCell="R93" sqref="R93"/>
    </sheetView>
  </sheetViews>
  <sheetFormatPr defaultColWidth="9.140625" defaultRowHeight="15" x14ac:dyDescent="0.25"/>
  <cols>
    <col min="1" max="1" width="5.7109375" style="2" customWidth="1"/>
    <col min="2" max="2" width="7.28515625" style="2" customWidth="1"/>
    <col min="3" max="3" width="15.28515625" style="2" bestFit="1" customWidth="1"/>
    <col min="4" max="4" width="27.85546875" style="2" customWidth="1"/>
    <col min="5" max="5" width="8.28515625" style="2" customWidth="1"/>
    <col min="6" max="6" width="22.28515625" style="2" customWidth="1"/>
    <col min="7" max="7" width="8.42578125" style="2" customWidth="1"/>
    <col min="8" max="8" width="12" style="2" bestFit="1" customWidth="1"/>
    <col min="9" max="10" width="7.42578125" style="2" customWidth="1"/>
    <col min="11" max="11" width="14.42578125" style="2" customWidth="1"/>
    <col min="12" max="12" width="12.85546875" style="2" customWidth="1"/>
    <col min="13" max="13" width="8.42578125" style="2" customWidth="1"/>
    <col min="14" max="14" width="8.140625" style="2" customWidth="1"/>
    <col min="15" max="15" width="14.140625" style="2" bestFit="1" customWidth="1"/>
    <col min="16" max="16" width="13" style="2" bestFit="1" customWidth="1"/>
    <col min="17" max="18" width="13" style="2" customWidth="1"/>
    <col min="19" max="19" width="12" style="2" bestFit="1" customWidth="1"/>
    <col min="20" max="20" width="12" style="2" customWidth="1"/>
    <col min="21" max="21" width="13.7109375" style="2" bestFit="1" customWidth="1"/>
    <col min="22" max="22" width="12.5703125" style="2" customWidth="1"/>
    <col min="23" max="23" width="12.28515625" style="2" hidden="1" customWidth="1"/>
    <col min="24" max="24" width="11.7109375" style="2" hidden="1" customWidth="1"/>
    <col min="25" max="26" width="10.85546875" style="2" bestFit="1" customWidth="1"/>
    <col min="27" max="16384" width="9.140625" style="2"/>
  </cols>
  <sheetData>
    <row r="1" spans="1:24" x14ac:dyDescent="0.25">
      <c r="A1" s="113" t="s">
        <v>359</v>
      </c>
    </row>
    <row r="3" spans="1:24" x14ac:dyDescent="0.25">
      <c r="A3" s="299" t="s">
        <v>864</v>
      </c>
      <c r="B3" s="299"/>
      <c r="C3" s="299"/>
      <c r="D3" s="299"/>
      <c r="E3" s="299"/>
      <c r="F3" s="299"/>
      <c r="G3" s="299"/>
      <c r="H3" s="299"/>
      <c r="I3" s="299"/>
      <c r="J3" s="299"/>
      <c r="K3" s="299"/>
      <c r="L3" s="299"/>
      <c r="M3" s="299"/>
      <c r="N3" s="299"/>
      <c r="O3" s="299"/>
      <c r="P3" s="299"/>
      <c r="Q3" s="299"/>
      <c r="R3" s="299"/>
      <c r="S3" s="299"/>
      <c r="T3" s="299"/>
      <c r="U3" s="299"/>
      <c r="V3" s="299"/>
    </row>
    <row r="4" spans="1:24" x14ac:dyDescent="0.25">
      <c r="A4" s="300" t="s">
        <v>347</v>
      </c>
      <c r="B4" s="300"/>
      <c r="C4" s="300"/>
      <c r="D4" s="300"/>
      <c r="E4" s="300"/>
      <c r="F4" s="300"/>
      <c r="G4" s="300"/>
      <c r="H4" s="300"/>
      <c r="I4" s="300"/>
      <c r="J4" s="300"/>
      <c r="K4" s="300"/>
      <c r="L4" s="300"/>
      <c r="M4" s="300"/>
      <c r="N4" s="300"/>
      <c r="O4" s="300"/>
      <c r="P4" s="300"/>
      <c r="Q4" s="300"/>
      <c r="R4" s="300"/>
      <c r="S4" s="300"/>
      <c r="T4" s="300"/>
      <c r="U4" s="300"/>
      <c r="V4" s="300"/>
    </row>
    <row r="5" spans="1:24" ht="15.75" thickBot="1" x14ac:dyDescent="0.3">
      <c r="A5" s="71"/>
    </row>
    <row r="6" spans="1:24" ht="16.5" customHeight="1" thickTop="1" thickBot="1" x14ac:dyDescent="0.3">
      <c r="A6" s="283" t="s">
        <v>0</v>
      </c>
      <c r="B6" s="283" t="s">
        <v>332</v>
      </c>
      <c r="C6" s="283" t="s">
        <v>524</v>
      </c>
      <c r="D6" s="283" t="s">
        <v>1</v>
      </c>
      <c r="E6" s="283" t="s">
        <v>7</v>
      </c>
      <c r="F6" s="283" t="s">
        <v>414</v>
      </c>
      <c r="G6" s="284" t="s">
        <v>523</v>
      </c>
      <c r="H6" s="284"/>
      <c r="I6" s="283" t="s">
        <v>18</v>
      </c>
      <c r="J6" s="283" t="s">
        <v>19</v>
      </c>
      <c r="K6" s="284" t="s">
        <v>408</v>
      </c>
      <c r="L6" s="283" t="s">
        <v>4</v>
      </c>
      <c r="M6" s="283" t="s">
        <v>5</v>
      </c>
      <c r="N6" s="283"/>
      <c r="O6" s="283" t="s">
        <v>8</v>
      </c>
      <c r="P6" s="283"/>
      <c r="Q6" s="283"/>
      <c r="R6" s="283"/>
      <c r="S6" s="283"/>
      <c r="T6" s="283"/>
      <c r="U6" s="283"/>
      <c r="V6" s="285" t="s">
        <v>868</v>
      </c>
      <c r="W6" s="285" t="s">
        <v>260</v>
      </c>
      <c r="X6" s="285" t="s">
        <v>261</v>
      </c>
    </row>
    <row r="7" spans="1:24" ht="25.5" customHeight="1" thickTop="1" thickBot="1" x14ac:dyDescent="0.3">
      <c r="A7" s="283"/>
      <c r="B7" s="283"/>
      <c r="C7" s="283"/>
      <c r="D7" s="283"/>
      <c r="E7" s="283"/>
      <c r="F7" s="283"/>
      <c r="G7" s="284"/>
      <c r="H7" s="284"/>
      <c r="I7" s="283"/>
      <c r="J7" s="283"/>
      <c r="K7" s="284"/>
      <c r="L7" s="283"/>
      <c r="M7" s="283"/>
      <c r="N7" s="283"/>
      <c r="O7" s="283" t="s">
        <v>6</v>
      </c>
      <c r="P7" s="291" t="s">
        <v>254</v>
      </c>
      <c r="Q7" s="291" t="s">
        <v>410</v>
      </c>
      <c r="R7" s="291" t="s">
        <v>865</v>
      </c>
      <c r="S7" s="285" t="s">
        <v>866</v>
      </c>
      <c r="T7" s="285" t="s">
        <v>867</v>
      </c>
      <c r="U7" s="283" t="s">
        <v>265</v>
      </c>
      <c r="V7" s="286"/>
      <c r="W7" s="286"/>
      <c r="X7" s="286"/>
    </row>
    <row r="8" spans="1:24" ht="39" customHeight="1" thickTop="1" thickBot="1" x14ac:dyDescent="0.3">
      <c r="A8" s="283"/>
      <c r="B8" s="283"/>
      <c r="C8" s="283"/>
      <c r="D8" s="283"/>
      <c r="E8" s="283"/>
      <c r="F8" s="283"/>
      <c r="G8" s="154" t="s">
        <v>2</v>
      </c>
      <c r="H8" s="154" t="s">
        <v>3</v>
      </c>
      <c r="I8" s="283"/>
      <c r="J8" s="283"/>
      <c r="K8" s="284"/>
      <c r="L8" s="283"/>
      <c r="M8" s="154" t="s">
        <v>256</v>
      </c>
      <c r="N8" s="154" t="s">
        <v>255</v>
      </c>
      <c r="O8" s="283"/>
      <c r="P8" s="292"/>
      <c r="Q8" s="292"/>
      <c r="R8" s="292"/>
      <c r="S8" s="287"/>
      <c r="T8" s="287"/>
      <c r="U8" s="283"/>
      <c r="V8" s="287"/>
      <c r="W8" s="287"/>
      <c r="X8" s="287"/>
    </row>
    <row r="9" spans="1:24" ht="16.5" thickTop="1" thickBot="1" x14ac:dyDescent="0.3">
      <c r="A9" s="74">
        <v>1</v>
      </c>
      <c r="B9" s="74">
        <v>2</v>
      </c>
      <c r="C9" s="74">
        <v>3</v>
      </c>
      <c r="D9" s="74">
        <v>4</v>
      </c>
      <c r="E9" s="74">
        <v>5</v>
      </c>
      <c r="F9" s="74">
        <v>6</v>
      </c>
      <c r="G9" s="74">
        <v>7</v>
      </c>
      <c r="H9" s="74">
        <v>8</v>
      </c>
      <c r="I9" s="74">
        <v>9</v>
      </c>
      <c r="J9" s="74">
        <v>10</v>
      </c>
      <c r="K9" s="74">
        <v>11</v>
      </c>
      <c r="L9" s="74">
        <v>12</v>
      </c>
      <c r="M9" s="74">
        <v>13</v>
      </c>
      <c r="N9" s="74">
        <v>14</v>
      </c>
      <c r="O9" s="74">
        <v>15</v>
      </c>
      <c r="P9" s="74">
        <v>16</v>
      </c>
      <c r="Q9" s="74">
        <v>17</v>
      </c>
      <c r="R9" s="74">
        <v>18</v>
      </c>
      <c r="S9" s="74">
        <v>19</v>
      </c>
      <c r="T9" s="74">
        <v>20</v>
      </c>
      <c r="U9" s="74">
        <v>21</v>
      </c>
      <c r="V9" s="74">
        <v>22</v>
      </c>
      <c r="W9" s="74">
        <v>20</v>
      </c>
      <c r="X9" s="74">
        <v>21</v>
      </c>
    </row>
    <row r="10" spans="1:24" ht="15.75" thickTop="1" x14ac:dyDescent="0.25">
      <c r="A10" s="174">
        <v>1</v>
      </c>
      <c r="B10" s="23" t="s">
        <v>309</v>
      </c>
      <c r="C10" s="221" t="s">
        <v>577</v>
      </c>
      <c r="D10" s="24" t="s">
        <v>40</v>
      </c>
      <c r="E10" s="6">
        <v>1</v>
      </c>
      <c r="F10" s="14">
        <v>0</v>
      </c>
      <c r="G10" s="16"/>
      <c r="H10" s="16"/>
      <c r="I10" s="16"/>
      <c r="J10" s="20"/>
      <c r="K10" s="14">
        <f>+F10+H10</f>
        <v>0</v>
      </c>
      <c r="L10" s="97">
        <v>12</v>
      </c>
      <c r="M10" s="160">
        <v>0.1605</v>
      </c>
      <c r="N10" s="10">
        <v>0.5</v>
      </c>
      <c r="O10" s="14">
        <v>7000.05</v>
      </c>
      <c r="P10" s="16">
        <v>0</v>
      </c>
      <c r="Q10" s="16">
        <v>0</v>
      </c>
      <c r="R10" s="16">
        <v>0</v>
      </c>
      <c r="S10" s="16">
        <f>+T10/12</f>
        <v>0</v>
      </c>
      <c r="T10" s="16">
        <f>+K10*M10</f>
        <v>0</v>
      </c>
      <c r="U10" s="16">
        <f>+O10+P10+Q10+T10</f>
        <v>7000.05</v>
      </c>
      <c r="V10" s="55">
        <f>+F10-Q10-R10-T10</f>
        <v>0</v>
      </c>
      <c r="W10" s="76">
        <v>0</v>
      </c>
      <c r="X10" s="77">
        <f>+K10-O10-P10-V10</f>
        <v>-7000.05</v>
      </c>
    </row>
    <row r="11" spans="1:24" x14ac:dyDescent="0.25">
      <c r="A11" s="153">
        <v>2</v>
      </c>
      <c r="B11" s="22" t="s">
        <v>309</v>
      </c>
      <c r="C11" s="222" t="s">
        <v>578</v>
      </c>
      <c r="D11" s="5" t="s">
        <v>41</v>
      </c>
      <c r="E11" s="7">
        <v>1</v>
      </c>
      <c r="F11" s="15">
        <v>0</v>
      </c>
      <c r="G11" s="17"/>
      <c r="H11" s="17"/>
      <c r="I11" s="17"/>
      <c r="J11" s="21"/>
      <c r="K11" s="15">
        <f>+F11+H11</f>
        <v>0</v>
      </c>
      <c r="L11" s="98">
        <v>12</v>
      </c>
      <c r="M11" s="161">
        <v>0.1605</v>
      </c>
      <c r="N11" s="18">
        <v>0.5</v>
      </c>
      <c r="O11" s="15">
        <v>16954</v>
      </c>
      <c r="P11" s="17">
        <v>0</v>
      </c>
      <c r="Q11" s="17">
        <v>0</v>
      </c>
      <c r="R11" s="17">
        <v>0</v>
      </c>
      <c r="S11" s="17">
        <f>+T11/12</f>
        <v>0</v>
      </c>
      <c r="T11" s="17">
        <f>+K11*M11</f>
        <v>0</v>
      </c>
      <c r="U11" s="17">
        <f>+O11+P11+Q11+T11</f>
        <v>16954</v>
      </c>
      <c r="V11" s="57">
        <f>+F11-Q11-R11-T11</f>
        <v>0</v>
      </c>
      <c r="W11" s="78">
        <v>0</v>
      </c>
      <c r="X11" s="75">
        <f t="shared" ref="X11:X42" si="0">+K11-O11-P11-W11</f>
        <v>-16954</v>
      </c>
    </row>
    <row r="12" spans="1:24" x14ac:dyDescent="0.25">
      <c r="A12" s="153">
        <v>3</v>
      </c>
      <c r="B12" s="22" t="s">
        <v>309</v>
      </c>
      <c r="C12" s="222" t="s">
        <v>579</v>
      </c>
      <c r="D12" s="5" t="s">
        <v>238</v>
      </c>
      <c r="E12" s="7">
        <v>1</v>
      </c>
      <c r="F12" s="15">
        <v>0</v>
      </c>
      <c r="G12" s="17"/>
      <c r="H12" s="17"/>
      <c r="I12" s="17"/>
      <c r="J12" s="21"/>
      <c r="K12" s="15">
        <f t="shared" ref="K12:K75" si="1">+F12+H12</f>
        <v>0</v>
      </c>
      <c r="L12" s="98">
        <v>12</v>
      </c>
      <c r="M12" s="161">
        <v>0.1605</v>
      </c>
      <c r="N12" s="18">
        <v>0.5</v>
      </c>
      <c r="O12" s="15">
        <v>4471.2</v>
      </c>
      <c r="P12" s="17">
        <v>0</v>
      </c>
      <c r="Q12" s="17">
        <v>0</v>
      </c>
      <c r="R12" s="17">
        <v>0</v>
      </c>
      <c r="S12" s="17">
        <f t="shared" ref="S12:S70" si="2">+T12/12</f>
        <v>0</v>
      </c>
      <c r="T12" s="17">
        <f t="shared" ref="T12:T75" si="3">+K12*M12</f>
        <v>0</v>
      </c>
      <c r="U12" s="17">
        <f t="shared" ref="U12:U75" si="4">+O12+P12+Q12+T12</f>
        <v>4471.2</v>
      </c>
      <c r="V12" s="57">
        <f t="shared" ref="V12:V75" si="5">+F12-Q12-R12-T12</f>
        <v>0</v>
      </c>
      <c r="W12" s="78">
        <v>0</v>
      </c>
      <c r="X12" s="75">
        <f t="shared" si="0"/>
        <v>-4471.2</v>
      </c>
    </row>
    <row r="13" spans="1:24" x14ac:dyDescent="0.25">
      <c r="A13" s="153">
        <v>4</v>
      </c>
      <c r="B13" s="22" t="s">
        <v>309</v>
      </c>
      <c r="C13" s="222" t="s">
        <v>580</v>
      </c>
      <c r="D13" s="5" t="s">
        <v>42</v>
      </c>
      <c r="E13" s="7">
        <v>1</v>
      </c>
      <c r="F13" s="15">
        <v>0</v>
      </c>
      <c r="G13" s="17"/>
      <c r="H13" s="17"/>
      <c r="I13" s="17"/>
      <c r="J13" s="21"/>
      <c r="K13" s="15">
        <f t="shared" si="1"/>
        <v>0</v>
      </c>
      <c r="L13" s="98">
        <v>12</v>
      </c>
      <c r="M13" s="161">
        <v>0.1605</v>
      </c>
      <c r="N13" s="18">
        <v>0.5</v>
      </c>
      <c r="O13" s="15">
        <v>26910.57</v>
      </c>
      <c r="P13" s="17">
        <v>0</v>
      </c>
      <c r="Q13" s="17">
        <v>0</v>
      </c>
      <c r="R13" s="17">
        <v>0</v>
      </c>
      <c r="S13" s="17">
        <f t="shared" si="2"/>
        <v>0</v>
      </c>
      <c r="T13" s="17">
        <f t="shared" si="3"/>
        <v>0</v>
      </c>
      <c r="U13" s="17">
        <f t="shared" si="4"/>
        <v>26910.57</v>
      </c>
      <c r="V13" s="57">
        <f t="shared" si="5"/>
        <v>0</v>
      </c>
      <c r="W13" s="78">
        <v>0</v>
      </c>
      <c r="X13" s="75">
        <f t="shared" si="0"/>
        <v>-26910.57</v>
      </c>
    </row>
    <row r="14" spans="1:24" x14ac:dyDescent="0.25">
      <c r="A14" s="153">
        <v>5</v>
      </c>
      <c r="B14" s="22" t="s">
        <v>309</v>
      </c>
      <c r="C14" s="222" t="s">
        <v>581</v>
      </c>
      <c r="D14" s="5" t="s">
        <v>43</v>
      </c>
      <c r="E14" s="7">
        <v>1</v>
      </c>
      <c r="F14" s="15">
        <v>0</v>
      </c>
      <c r="G14" s="17"/>
      <c r="H14" s="17"/>
      <c r="I14" s="17"/>
      <c r="J14" s="21"/>
      <c r="K14" s="15">
        <f t="shared" si="1"/>
        <v>0</v>
      </c>
      <c r="L14" s="98">
        <v>12</v>
      </c>
      <c r="M14" s="161">
        <v>0.1605</v>
      </c>
      <c r="N14" s="18">
        <v>0.5</v>
      </c>
      <c r="O14" s="15">
        <v>6300</v>
      </c>
      <c r="P14" s="17">
        <v>0</v>
      </c>
      <c r="Q14" s="17">
        <v>0</v>
      </c>
      <c r="R14" s="17">
        <v>0</v>
      </c>
      <c r="S14" s="17">
        <f t="shared" si="2"/>
        <v>0</v>
      </c>
      <c r="T14" s="17">
        <f t="shared" si="3"/>
        <v>0</v>
      </c>
      <c r="U14" s="17">
        <f t="shared" si="4"/>
        <v>6300</v>
      </c>
      <c r="V14" s="57">
        <f t="shared" si="5"/>
        <v>0</v>
      </c>
      <c r="W14" s="78">
        <v>0</v>
      </c>
      <c r="X14" s="75">
        <f t="shared" si="0"/>
        <v>-6300</v>
      </c>
    </row>
    <row r="15" spans="1:24" x14ac:dyDescent="0.25">
      <c r="A15" s="153">
        <v>6</v>
      </c>
      <c r="B15" s="22" t="s">
        <v>309</v>
      </c>
      <c r="C15" s="222" t="s">
        <v>582</v>
      </c>
      <c r="D15" s="5" t="s">
        <v>44</v>
      </c>
      <c r="E15" s="7">
        <v>1</v>
      </c>
      <c r="F15" s="15">
        <v>0</v>
      </c>
      <c r="G15" s="17"/>
      <c r="H15" s="17"/>
      <c r="I15" s="17"/>
      <c r="J15" s="21"/>
      <c r="K15" s="15">
        <f t="shared" si="1"/>
        <v>0</v>
      </c>
      <c r="L15" s="98">
        <v>12</v>
      </c>
      <c r="M15" s="161">
        <v>0.1605</v>
      </c>
      <c r="N15" s="18">
        <v>0.5</v>
      </c>
      <c r="O15" s="15">
        <v>67725</v>
      </c>
      <c r="P15" s="17">
        <v>0</v>
      </c>
      <c r="Q15" s="17">
        <v>0</v>
      </c>
      <c r="R15" s="17">
        <v>0</v>
      </c>
      <c r="S15" s="17">
        <f t="shared" si="2"/>
        <v>0</v>
      </c>
      <c r="T15" s="17">
        <f t="shared" si="3"/>
        <v>0</v>
      </c>
      <c r="U15" s="17">
        <f t="shared" si="4"/>
        <v>67725</v>
      </c>
      <c r="V15" s="57">
        <f t="shared" si="5"/>
        <v>0</v>
      </c>
      <c r="W15" s="78">
        <v>0</v>
      </c>
      <c r="X15" s="75">
        <f t="shared" si="0"/>
        <v>-67725</v>
      </c>
    </row>
    <row r="16" spans="1:24" x14ac:dyDescent="0.25">
      <c r="A16" s="153">
        <v>7</v>
      </c>
      <c r="B16" s="22" t="s">
        <v>309</v>
      </c>
      <c r="C16" s="222" t="s">
        <v>583</v>
      </c>
      <c r="D16" s="7" t="s">
        <v>45</v>
      </c>
      <c r="E16" s="7">
        <v>1</v>
      </c>
      <c r="F16" s="15">
        <v>0</v>
      </c>
      <c r="G16" s="17"/>
      <c r="H16" s="17"/>
      <c r="I16" s="17"/>
      <c r="J16" s="21"/>
      <c r="K16" s="15">
        <f t="shared" si="1"/>
        <v>0</v>
      </c>
      <c r="L16" s="98">
        <v>12</v>
      </c>
      <c r="M16" s="161">
        <v>0.1605</v>
      </c>
      <c r="N16" s="18">
        <v>0.5</v>
      </c>
      <c r="O16" s="15">
        <v>5915.01</v>
      </c>
      <c r="P16" s="17">
        <v>0</v>
      </c>
      <c r="Q16" s="17">
        <v>0</v>
      </c>
      <c r="R16" s="17">
        <v>0</v>
      </c>
      <c r="S16" s="17">
        <f t="shared" si="2"/>
        <v>0</v>
      </c>
      <c r="T16" s="17">
        <f t="shared" si="3"/>
        <v>0</v>
      </c>
      <c r="U16" s="17">
        <f t="shared" si="4"/>
        <v>5915.01</v>
      </c>
      <c r="V16" s="57">
        <f t="shared" si="5"/>
        <v>0</v>
      </c>
      <c r="W16" s="78">
        <v>0</v>
      </c>
      <c r="X16" s="75">
        <f t="shared" si="0"/>
        <v>-5915.01</v>
      </c>
    </row>
    <row r="17" spans="1:26" x14ac:dyDescent="0.25">
      <c r="A17" s="153">
        <v>8</v>
      </c>
      <c r="B17" s="22" t="s">
        <v>309</v>
      </c>
      <c r="C17" s="222" t="s">
        <v>584</v>
      </c>
      <c r="D17" s="7" t="s">
        <v>46</v>
      </c>
      <c r="E17" s="7">
        <v>1</v>
      </c>
      <c r="F17" s="15">
        <v>0</v>
      </c>
      <c r="G17" s="17"/>
      <c r="H17" s="17"/>
      <c r="I17" s="17"/>
      <c r="J17" s="21"/>
      <c r="K17" s="15">
        <f t="shared" si="1"/>
        <v>0</v>
      </c>
      <c r="L17" s="98">
        <v>12</v>
      </c>
      <c r="M17" s="161">
        <v>0.1605</v>
      </c>
      <c r="N17" s="18">
        <v>0.5</v>
      </c>
      <c r="O17" s="15">
        <v>5647.2</v>
      </c>
      <c r="P17" s="17">
        <v>0</v>
      </c>
      <c r="Q17" s="17">
        <v>0</v>
      </c>
      <c r="R17" s="17">
        <v>0</v>
      </c>
      <c r="S17" s="17">
        <f t="shared" si="2"/>
        <v>0</v>
      </c>
      <c r="T17" s="17">
        <f t="shared" si="3"/>
        <v>0</v>
      </c>
      <c r="U17" s="17">
        <f t="shared" si="4"/>
        <v>5647.2</v>
      </c>
      <c r="V17" s="57">
        <f t="shared" si="5"/>
        <v>0</v>
      </c>
      <c r="W17" s="78">
        <v>0</v>
      </c>
      <c r="X17" s="75">
        <f t="shared" si="0"/>
        <v>-5647.2</v>
      </c>
    </row>
    <row r="18" spans="1:26" x14ac:dyDescent="0.25">
      <c r="A18" s="153">
        <v>9</v>
      </c>
      <c r="B18" s="22" t="s">
        <v>309</v>
      </c>
      <c r="C18" s="222" t="s">
        <v>585</v>
      </c>
      <c r="D18" s="7" t="s">
        <v>48</v>
      </c>
      <c r="E18" s="7">
        <v>1</v>
      </c>
      <c r="F18" s="15">
        <v>0</v>
      </c>
      <c r="G18" s="17"/>
      <c r="H18" s="17"/>
      <c r="I18" s="17"/>
      <c r="J18" s="21"/>
      <c r="K18" s="15">
        <f t="shared" si="1"/>
        <v>0</v>
      </c>
      <c r="L18" s="98">
        <v>12</v>
      </c>
      <c r="M18" s="161">
        <v>0.1605</v>
      </c>
      <c r="N18" s="18">
        <v>0.5</v>
      </c>
      <c r="O18" s="15">
        <v>7576.39</v>
      </c>
      <c r="P18" s="17">
        <v>0</v>
      </c>
      <c r="Q18" s="17">
        <v>0</v>
      </c>
      <c r="R18" s="17">
        <v>0</v>
      </c>
      <c r="S18" s="17">
        <f t="shared" si="2"/>
        <v>0</v>
      </c>
      <c r="T18" s="17">
        <f t="shared" si="3"/>
        <v>0</v>
      </c>
      <c r="U18" s="17">
        <f t="shared" si="4"/>
        <v>7576.39</v>
      </c>
      <c r="V18" s="57">
        <f t="shared" si="5"/>
        <v>0</v>
      </c>
      <c r="W18" s="78">
        <v>0</v>
      </c>
      <c r="X18" s="75">
        <f t="shared" si="0"/>
        <v>-7576.39</v>
      </c>
    </row>
    <row r="19" spans="1:26" x14ac:dyDescent="0.25">
      <c r="A19" s="153">
        <v>10</v>
      </c>
      <c r="B19" s="22" t="s">
        <v>309</v>
      </c>
      <c r="C19" s="222" t="s">
        <v>586</v>
      </c>
      <c r="D19" s="7" t="s">
        <v>47</v>
      </c>
      <c r="E19" s="7">
        <v>1</v>
      </c>
      <c r="F19" s="15">
        <v>0</v>
      </c>
      <c r="G19" s="17"/>
      <c r="H19" s="17"/>
      <c r="I19" s="17"/>
      <c r="J19" s="21"/>
      <c r="K19" s="15">
        <f t="shared" si="1"/>
        <v>0</v>
      </c>
      <c r="L19" s="98">
        <v>12</v>
      </c>
      <c r="M19" s="161">
        <v>0.1605</v>
      </c>
      <c r="N19" s="18">
        <v>0.5</v>
      </c>
      <c r="O19" s="15">
        <v>37500</v>
      </c>
      <c r="P19" s="17">
        <v>0</v>
      </c>
      <c r="Q19" s="17">
        <v>0</v>
      </c>
      <c r="R19" s="17">
        <v>0</v>
      </c>
      <c r="S19" s="17">
        <f t="shared" si="2"/>
        <v>0</v>
      </c>
      <c r="T19" s="17">
        <f t="shared" si="3"/>
        <v>0</v>
      </c>
      <c r="U19" s="17">
        <f t="shared" si="4"/>
        <v>37500</v>
      </c>
      <c r="V19" s="57">
        <f t="shared" si="5"/>
        <v>0</v>
      </c>
      <c r="W19" s="78">
        <v>0</v>
      </c>
      <c r="X19" s="75">
        <f t="shared" si="0"/>
        <v>-37500</v>
      </c>
    </row>
    <row r="20" spans="1:26" x14ac:dyDescent="0.25">
      <c r="A20" s="153">
        <v>11</v>
      </c>
      <c r="B20" s="22" t="s">
        <v>309</v>
      </c>
      <c r="C20" s="222" t="s">
        <v>587</v>
      </c>
      <c r="D20" s="7" t="s">
        <v>49</v>
      </c>
      <c r="E20" s="7">
        <v>1</v>
      </c>
      <c r="F20" s="15">
        <v>0</v>
      </c>
      <c r="G20" s="17"/>
      <c r="H20" s="17"/>
      <c r="I20" s="17"/>
      <c r="J20" s="21"/>
      <c r="K20" s="15">
        <f t="shared" si="1"/>
        <v>0</v>
      </c>
      <c r="L20" s="98">
        <v>12</v>
      </c>
      <c r="M20" s="161">
        <v>0.1605</v>
      </c>
      <c r="N20" s="18">
        <v>0.5</v>
      </c>
      <c r="O20" s="15">
        <v>24774.29</v>
      </c>
      <c r="P20" s="17">
        <v>0</v>
      </c>
      <c r="Q20" s="17">
        <v>0</v>
      </c>
      <c r="R20" s="17">
        <v>0</v>
      </c>
      <c r="S20" s="17">
        <f t="shared" si="2"/>
        <v>0</v>
      </c>
      <c r="T20" s="17">
        <f t="shared" si="3"/>
        <v>0</v>
      </c>
      <c r="U20" s="17">
        <f t="shared" si="4"/>
        <v>24774.29</v>
      </c>
      <c r="V20" s="57">
        <f t="shared" si="5"/>
        <v>0</v>
      </c>
      <c r="W20" s="78">
        <v>0</v>
      </c>
      <c r="X20" s="75">
        <f t="shared" si="0"/>
        <v>-24774.29</v>
      </c>
    </row>
    <row r="21" spans="1:26" x14ac:dyDescent="0.25">
      <c r="A21" s="153">
        <v>12</v>
      </c>
      <c r="B21" s="22" t="s">
        <v>309</v>
      </c>
      <c r="C21" s="222" t="s">
        <v>588</v>
      </c>
      <c r="D21" s="7" t="s">
        <v>46</v>
      </c>
      <c r="E21" s="7">
        <v>1</v>
      </c>
      <c r="F21" s="15">
        <v>0</v>
      </c>
      <c r="G21" s="17"/>
      <c r="H21" s="17"/>
      <c r="I21" s="17"/>
      <c r="J21" s="21"/>
      <c r="K21" s="15">
        <f t="shared" si="1"/>
        <v>0</v>
      </c>
      <c r="L21" s="98">
        <v>12</v>
      </c>
      <c r="M21" s="161">
        <v>0.1605</v>
      </c>
      <c r="N21" s="18">
        <v>0.5</v>
      </c>
      <c r="O21" s="15">
        <v>3630.4</v>
      </c>
      <c r="P21" s="17">
        <v>0</v>
      </c>
      <c r="Q21" s="17">
        <v>0</v>
      </c>
      <c r="R21" s="17">
        <v>0</v>
      </c>
      <c r="S21" s="17">
        <f t="shared" si="2"/>
        <v>0</v>
      </c>
      <c r="T21" s="17">
        <f t="shared" si="3"/>
        <v>0</v>
      </c>
      <c r="U21" s="17">
        <f t="shared" si="4"/>
        <v>3630.4</v>
      </c>
      <c r="V21" s="57">
        <f t="shared" si="5"/>
        <v>0</v>
      </c>
      <c r="W21" s="78">
        <v>0</v>
      </c>
      <c r="X21" s="75">
        <f t="shared" si="0"/>
        <v>-3630.4</v>
      </c>
      <c r="Y21" s="15"/>
      <c r="Z21" s="15"/>
    </row>
    <row r="22" spans="1:26" x14ac:dyDescent="0.25">
      <c r="A22" s="153">
        <v>13</v>
      </c>
      <c r="B22" s="22" t="s">
        <v>309</v>
      </c>
      <c r="C22" s="222" t="s">
        <v>589</v>
      </c>
      <c r="D22" s="7" t="s">
        <v>50</v>
      </c>
      <c r="E22" s="7">
        <v>1</v>
      </c>
      <c r="F22" s="15">
        <v>0</v>
      </c>
      <c r="G22" s="17"/>
      <c r="H22" s="17"/>
      <c r="I22" s="17"/>
      <c r="J22" s="21"/>
      <c r="K22" s="15">
        <f t="shared" si="1"/>
        <v>0</v>
      </c>
      <c r="L22" s="98">
        <v>12</v>
      </c>
      <c r="M22" s="161">
        <v>0.1605</v>
      </c>
      <c r="N22" s="18">
        <v>0.5</v>
      </c>
      <c r="O22" s="15">
        <v>9000</v>
      </c>
      <c r="P22" s="17">
        <v>0</v>
      </c>
      <c r="Q22" s="17">
        <v>0</v>
      </c>
      <c r="R22" s="17">
        <v>0</v>
      </c>
      <c r="S22" s="17">
        <f t="shared" si="2"/>
        <v>0</v>
      </c>
      <c r="T22" s="17">
        <f t="shared" si="3"/>
        <v>0</v>
      </c>
      <c r="U22" s="17">
        <f t="shared" si="4"/>
        <v>9000</v>
      </c>
      <c r="V22" s="57">
        <f t="shared" si="5"/>
        <v>0</v>
      </c>
      <c r="W22" s="78">
        <v>0</v>
      </c>
      <c r="X22" s="75">
        <f t="shared" si="0"/>
        <v>-9000</v>
      </c>
    </row>
    <row r="23" spans="1:26" x14ac:dyDescent="0.25">
      <c r="A23" s="153">
        <v>14</v>
      </c>
      <c r="B23" s="22" t="s">
        <v>309</v>
      </c>
      <c r="C23" s="222" t="s">
        <v>590</v>
      </c>
      <c r="D23" s="7" t="s">
        <v>51</v>
      </c>
      <c r="E23" s="7">
        <v>1</v>
      </c>
      <c r="F23" s="15">
        <v>0</v>
      </c>
      <c r="G23" s="17"/>
      <c r="H23" s="17"/>
      <c r="I23" s="17"/>
      <c r="J23" s="21"/>
      <c r="K23" s="15">
        <f t="shared" si="1"/>
        <v>0</v>
      </c>
      <c r="L23" s="98">
        <v>12</v>
      </c>
      <c r="M23" s="161">
        <v>0.1605</v>
      </c>
      <c r="N23" s="18">
        <v>0.5</v>
      </c>
      <c r="O23" s="15">
        <v>17000</v>
      </c>
      <c r="P23" s="17">
        <v>0</v>
      </c>
      <c r="Q23" s="17">
        <v>0</v>
      </c>
      <c r="R23" s="17">
        <v>0</v>
      </c>
      <c r="S23" s="17">
        <f t="shared" si="2"/>
        <v>0</v>
      </c>
      <c r="T23" s="17">
        <f t="shared" si="3"/>
        <v>0</v>
      </c>
      <c r="U23" s="17">
        <f t="shared" si="4"/>
        <v>17000</v>
      </c>
      <c r="V23" s="57">
        <f t="shared" si="5"/>
        <v>0</v>
      </c>
      <c r="W23" s="78">
        <v>0</v>
      </c>
      <c r="X23" s="75">
        <f t="shared" si="0"/>
        <v>-17000</v>
      </c>
    </row>
    <row r="24" spans="1:26" x14ac:dyDescent="0.25">
      <c r="A24" s="153">
        <v>15</v>
      </c>
      <c r="B24" s="22" t="s">
        <v>309</v>
      </c>
      <c r="C24" s="222" t="s">
        <v>591</v>
      </c>
      <c r="D24" s="7" t="s">
        <v>52</v>
      </c>
      <c r="E24" s="7">
        <v>2</v>
      </c>
      <c r="F24" s="15">
        <v>0</v>
      </c>
      <c r="G24" s="17"/>
      <c r="H24" s="17"/>
      <c r="I24" s="17"/>
      <c r="J24" s="21"/>
      <c r="K24" s="15">
        <f t="shared" si="1"/>
        <v>0</v>
      </c>
      <c r="L24" s="98">
        <v>12</v>
      </c>
      <c r="M24" s="161">
        <v>0.1605</v>
      </c>
      <c r="N24" s="18">
        <v>0.5</v>
      </c>
      <c r="O24" s="15">
        <v>10530</v>
      </c>
      <c r="P24" s="17">
        <v>0</v>
      </c>
      <c r="Q24" s="17">
        <v>0</v>
      </c>
      <c r="R24" s="17">
        <v>0</v>
      </c>
      <c r="S24" s="17">
        <f t="shared" si="2"/>
        <v>0</v>
      </c>
      <c r="T24" s="17">
        <f t="shared" si="3"/>
        <v>0</v>
      </c>
      <c r="U24" s="17">
        <f t="shared" si="4"/>
        <v>10530</v>
      </c>
      <c r="V24" s="57">
        <f t="shared" si="5"/>
        <v>0</v>
      </c>
      <c r="W24" s="78">
        <v>0</v>
      </c>
      <c r="X24" s="75">
        <f t="shared" si="0"/>
        <v>-10530</v>
      </c>
    </row>
    <row r="25" spans="1:26" x14ac:dyDescent="0.25">
      <c r="A25" s="153">
        <v>16</v>
      </c>
      <c r="B25" s="22" t="s">
        <v>309</v>
      </c>
      <c r="C25" s="222" t="s">
        <v>592</v>
      </c>
      <c r="D25" s="7" t="s">
        <v>53</v>
      </c>
      <c r="E25" s="7">
        <v>1</v>
      </c>
      <c r="F25" s="15">
        <v>0</v>
      </c>
      <c r="G25" s="17"/>
      <c r="H25" s="17"/>
      <c r="I25" s="17"/>
      <c r="J25" s="21"/>
      <c r="K25" s="15">
        <f t="shared" si="1"/>
        <v>0</v>
      </c>
      <c r="L25" s="98">
        <v>12</v>
      </c>
      <c r="M25" s="161">
        <v>0.1605</v>
      </c>
      <c r="N25" s="18">
        <v>0.5</v>
      </c>
      <c r="O25" s="17">
        <v>7067.57</v>
      </c>
      <c r="P25" s="17">
        <v>0</v>
      </c>
      <c r="Q25" s="17">
        <v>0</v>
      </c>
      <c r="R25" s="17">
        <v>0</v>
      </c>
      <c r="S25" s="17">
        <f t="shared" si="2"/>
        <v>0</v>
      </c>
      <c r="T25" s="17">
        <f t="shared" si="3"/>
        <v>0</v>
      </c>
      <c r="U25" s="17">
        <f t="shared" si="4"/>
        <v>7067.57</v>
      </c>
      <c r="V25" s="57">
        <f t="shared" si="5"/>
        <v>0</v>
      </c>
      <c r="W25" s="78">
        <v>0</v>
      </c>
      <c r="X25" s="75">
        <f t="shared" si="0"/>
        <v>-7067.57</v>
      </c>
    </row>
    <row r="26" spans="1:26" x14ac:dyDescent="0.25">
      <c r="A26" s="153">
        <v>17</v>
      </c>
      <c r="B26" s="22" t="s">
        <v>309</v>
      </c>
      <c r="C26" s="222" t="s">
        <v>593</v>
      </c>
      <c r="D26" s="7" t="s">
        <v>54</v>
      </c>
      <c r="E26" s="7">
        <v>1</v>
      </c>
      <c r="F26" s="15">
        <v>0</v>
      </c>
      <c r="G26" s="17"/>
      <c r="H26" s="17"/>
      <c r="I26" s="17"/>
      <c r="J26" s="21"/>
      <c r="K26" s="15">
        <f t="shared" si="1"/>
        <v>0</v>
      </c>
      <c r="L26" s="98">
        <v>12</v>
      </c>
      <c r="M26" s="161">
        <v>0.1605</v>
      </c>
      <c r="N26" s="18">
        <v>0.5</v>
      </c>
      <c r="O26" s="17">
        <v>15420</v>
      </c>
      <c r="P26" s="17">
        <v>0</v>
      </c>
      <c r="Q26" s="17">
        <v>0</v>
      </c>
      <c r="R26" s="17">
        <v>0</v>
      </c>
      <c r="S26" s="17">
        <f t="shared" si="2"/>
        <v>0</v>
      </c>
      <c r="T26" s="17">
        <f t="shared" si="3"/>
        <v>0</v>
      </c>
      <c r="U26" s="17">
        <f t="shared" si="4"/>
        <v>15420</v>
      </c>
      <c r="V26" s="57">
        <f t="shared" si="5"/>
        <v>0</v>
      </c>
      <c r="W26" s="78">
        <v>0</v>
      </c>
      <c r="X26" s="75">
        <f t="shared" si="0"/>
        <v>-15420</v>
      </c>
    </row>
    <row r="27" spans="1:26" x14ac:dyDescent="0.25">
      <c r="A27" s="153">
        <v>18</v>
      </c>
      <c r="B27" s="22" t="s">
        <v>309</v>
      </c>
      <c r="C27" s="222" t="s">
        <v>594</v>
      </c>
      <c r="D27" s="7" t="s">
        <v>55</v>
      </c>
      <c r="E27" s="7">
        <v>1</v>
      </c>
      <c r="F27" s="15">
        <v>0</v>
      </c>
      <c r="G27" s="17"/>
      <c r="H27" s="17"/>
      <c r="I27" s="17"/>
      <c r="J27" s="21"/>
      <c r="K27" s="15">
        <f t="shared" si="1"/>
        <v>0</v>
      </c>
      <c r="L27" s="98">
        <v>12</v>
      </c>
      <c r="M27" s="161">
        <v>0.1605</v>
      </c>
      <c r="N27" s="18">
        <v>0.5</v>
      </c>
      <c r="O27" s="17">
        <v>11326.99</v>
      </c>
      <c r="P27" s="17">
        <v>0</v>
      </c>
      <c r="Q27" s="17">
        <v>0</v>
      </c>
      <c r="R27" s="17">
        <v>0</v>
      </c>
      <c r="S27" s="17">
        <f t="shared" si="2"/>
        <v>0</v>
      </c>
      <c r="T27" s="17">
        <f t="shared" si="3"/>
        <v>0</v>
      </c>
      <c r="U27" s="17">
        <f t="shared" si="4"/>
        <v>11326.99</v>
      </c>
      <c r="V27" s="57">
        <f t="shared" si="5"/>
        <v>0</v>
      </c>
      <c r="W27" s="78">
        <v>0</v>
      </c>
      <c r="X27" s="75">
        <f t="shared" si="0"/>
        <v>-11326.99</v>
      </c>
    </row>
    <row r="28" spans="1:26" x14ac:dyDescent="0.25">
      <c r="A28" s="153">
        <v>19</v>
      </c>
      <c r="B28" s="22" t="s">
        <v>309</v>
      </c>
      <c r="C28" s="222" t="s">
        <v>595</v>
      </c>
      <c r="D28" s="7" t="s">
        <v>56</v>
      </c>
      <c r="E28" s="7">
        <v>2</v>
      </c>
      <c r="F28" s="15">
        <v>0</v>
      </c>
      <c r="G28" s="17"/>
      <c r="H28" s="17"/>
      <c r="I28" s="17"/>
      <c r="J28" s="21"/>
      <c r="K28" s="15">
        <f t="shared" si="1"/>
        <v>0</v>
      </c>
      <c r="L28" s="98">
        <v>12</v>
      </c>
      <c r="M28" s="161">
        <v>0.1605</v>
      </c>
      <c r="N28" s="18">
        <v>0.5</v>
      </c>
      <c r="O28" s="17">
        <v>4526.25</v>
      </c>
      <c r="P28" s="17">
        <v>0</v>
      </c>
      <c r="Q28" s="17">
        <v>0</v>
      </c>
      <c r="R28" s="17">
        <v>0</v>
      </c>
      <c r="S28" s="17">
        <f t="shared" si="2"/>
        <v>0</v>
      </c>
      <c r="T28" s="17">
        <f t="shared" si="3"/>
        <v>0</v>
      </c>
      <c r="U28" s="17">
        <f t="shared" si="4"/>
        <v>4526.25</v>
      </c>
      <c r="V28" s="57">
        <f t="shared" si="5"/>
        <v>0</v>
      </c>
      <c r="W28" s="78">
        <v>0</v>
      </c>
      <c r="X28" s="75">
        <f t="shared" si="0"/>
        <v>-4526.25</v>
      </c>
    </row>
    <row r="29" spans="1:26" x14ac:dyDescent="0.25">
      <c r="A29" s="153">
        <v>20</v>
      </c>
      <c r="B29" s="22" t="s">
        <v>309</v>
      </c>
      <c r="C29" s="222" t="s">
        <v>596</v>
      </c>
      <c r="D29" s="7" t="s">
        <v>57</v>
      </c>
      <c r="E29" s="7">
        <v>1</v>
      </c>
      <c r="F29" s="15">
        <v>0</v>
      </c>
      <c r="G29" s="17"/>
      <c r="H29" s="17"/>
      <c r="I29" s="17"/>
      <c r="J29" s="21"/>
      <c r="K29" s="15">
        <f t="shared" si="1"/>
        <v>0</v>
      </c>
      <c r="L29" s="98">
        <v>12</v>
      </c>
      <c r="M29" s="161">
        <v>0.1605</v>
      </c>
      <c r="N29" s="18">
        <v>0.5</v>
      </c>
      <c r="O29" s="15">
        <v>383433.1</v>
      </c>
      <c r="P29" s="17">
        <v>0</v>
      </c>
      <c r="Q29" s="17">
        <v>0</v>
      </c>
      <c r="R29" s="17">
        <v>0</v>
      </c>
      <c r="S29" s="17">
        <f t="shared" si="2"/>
        <v>0</v>
      </c>
      <c r="T29" s="17">
        <f t="shared" si="3"/>
        <v>0</v>
      </c>
      <c r="U29" s="17">
        <f t="shared" si="4"/>
        <v>383433.1</v>
      </c>
      <c r="V29" s="57">
        <f t="shared" si="5"/>
        <v>0</v>
      </c>
      <c r="W29" s="78">
        <v>0</v>
      </c>
      <c r="X29" s="75">
        <f t="shared" si="0"/>
        <v>-383433.1</v>
      </c>
    </row>
    <row r="30" spans="1:26" x14ac:dyDescent="0.25">
      <c r="A30" s="153">
        <v>21</v>
      </c>
      <c r="B30" s="22" t="s">
        <v>309</v>
      </c>
      <c r="C30" s="222" t="s">
        <v>597</v>
      </c>
      <c r="D30" s="7" t="s">
        <v>58</v>
      </c>
      <c r="E30" s="7">
        <v>1</v>
      </c>
      <c r="F30" s="15">
        <v>0</v>
      </c>
      <c r="G30" s="17"/>
      <c r="H30" s="17"/>
      <c r="I30" s="17"/>
      <c r="J30" s="21"/>
      <c r="K30" s="15">
        <f t="shared" si="1"/>
        <v>0</v>
      </c>
      <c r="L30" s="98">
        <v>12</v>
      </c>
      <c r="M30" s="161">
        <v>0.1605</v>
      </c>
      <c r="N30" s="18">
        <v>0.5</v>
      </c>
      <c r="O30" s="15">
        <v>5250</v>
      </c>
      <c r="P30" s="17">
        <v>0</v>
      </c>
      <c r="Q30" s="17">
        <v>0</v>
      </c>
      <c r="R30" s="17">
        <v>0</v>
      </c>
      <c r="S30" s="17">
        <f t="shared" si="2"/>
        <v>0</v>
      </c>
      <c r="T30" s="17">
        <f t="shared" si="3"/>
        <v>0</v>
      </c>
      <c r="U30" s="17">
        <f t="shared" si="4"/>
        <v>5250</v>
      </c>
      <c r="V30" s="57">
        <f t="shared" si="5"/>
        <v>0</v>
      </c>
      <c r="W30" s="78">
        <v>0</v>
      </c>
      <c r="X30" s="75">
        <f t="shared" si="0"/>
        <v>-5250</v>
      </c>
    </row>
    <row r="31" spans="1:26" x14ac:dyDescent="0.25">
      <c r="A31" s="153">
        <v>22</v>
      </c>
      <c r="B31" s="22" t="s">
        <v>309</v>
      </c>
      <c r="C31" s="222" t="s">
        <v>598</v>
      </c>
      <c r="D31" s="7" t="s">
        <v>59</v>
      </c>
      <c r="E31" s="7">
        <v>1</v>
      </c>
      <c r="F31" s="15">
        <v>0</v>
      </c>
      <c r="G31" s="17"/>
      <c r="H31" s="17"/>
      <c r="I31" s="17"/>
      <c r="J31" s="21"/>
      <c r="K31" s="15">
        <f t="shared" si="1"/>
        <v>0</v>
      </c>
      <c r="L31" s="98">
        <v>12</v>
      </c>
      <c r="M31" s="161">
        <v>0.1605</v>
      </c>
      <c r="N31" s="18">
        <v>0.5</v>
      </c>
      <c r="O31" s="15">
        <v>24097.5</v>
      </c>
      <c r="P31" s="17">
        <f>+'[1]CEDAR 031= 1,92 '!O31+'[1]CEDAR 031= 1,92 '!P31</f>
        <v>9922.5</v>
      </c>
      <c r="Q31" s="17">
        <v>0</v>
      </c>
      <c r="R31" s="17">
        <v>0</v>
      </c>
      <c r="S31" s="17">
        <f>+T31/2</f>
        <v>0</v>
      </c>
      <c r="T31" s="17">
        <f t="shared" si="3"/>
        <v>0</v>
      </c>
      <c r="U31" s="17">
        <f t="shared" si="4"/>
        <v>34020</v>
      </c>
      <c r="V31" s="57">
        <f t="shared" si="5"/>
        <v>0</v>
      </c>
      <c r="W31" s="78">
        <f>T31</f>
        <v>0</v>
      </c>
      <c r="X31" s="75">
        <f t="shared" si="0"/>
        <v>-34020</v>
      </c>
    </row>
    <row r="32" spans="1:26" x14ac:dyDescent="0.25">
      <c r="A32" s="153">
        <v>23</v>
      </c>
      <c r="B32" s="22" t="s">
        <v>309</v>
      </c>
      <c r="C32" s="222" t="s">
        <v>599</v>
      </c>
      <c r="D32" s="7" t="s">
        <v>60</v>
      </c>
      <c r="E32" s="7">
        <v>1</v>
      </c>
      <c r="F32" s="15">
        <v>0</v>
      </c>
      <c r="G32" s="17"/>
      <c r="H32" s="17"/>
      <c r="I32" s="17"/>
      <c r="J32" s="21"/>
      <c r="K32" s="15">
        <f t="shared" si="1"/>
        <v>0</v>
      </c>
      <c r="L32" s="98">
        <v>12</v>
      </c>
      <c r="M32" s="161">
        <v>0.1605</v>
      </c>
      <c r="N32" s="18">
        <v>0.5</v>
      </c>
      <c r="O32" s="15">
        <v>7100.55</v>
      </c>
      <c r="P32" s="17">
        <f>+'[1]CEDAR 031= 1,92 '!O32+'[1]CEDAR 031= 1,92 '!P32</f>
        <v>7100.54</v>
      </c>
      <c r="Q32" s="17">
        <v>0</v>
      </c>
      <c r="R32" s="17">
        <v>0</v>
      </c>
      <c r="S32" s="17">
        <f>+T32/2.5</f>
        <v>0</v>
      </c>
      <c r="T32" s="17">
        <f t="shared" si="3"/>
        <v>0</v>
      </c>
      <c r="U32" s="17">
        <f t="shared" si="4"/>
        <v>14201.09</v>
      </c>
      <c r="V32" s="57">
        <f t="shared" si="5"/>
        <v>0</v>
      </c>
      <c r="W32" s="78">
        <f>T32</f>
        <v>0</v>
      </c>
      <c r="X32" s="75">
        <f t="shared" si="0"/>
        <v>-14201.09</v>
      </c>
    </row>
    <row r="33" spans="1:24" x14ac:dyDescent="0.25">
      <c r="A33" s="153">
        <v>24</v>
      </c>
      <c r="B33" s="22" t="s">
        <v>309</v>
      </c>
      <c r="C33" s="222" t="s">
        <v>600</v>
      </c>
      <c r="D33" s="7" t="s">
        <v>61</v>
      </c>
      <c r="E33" s="7">
        <v>1</v>
      </c>
      <c r="F33" s="15">
        <v>0</v>
      </c>
      <c r="G33" s="17"/>
      <c r="H33" s="17"/>
      <c r="I33" s="17"/>
      <c r="J33" s="21"/>
      <c r="K33" s="15">
        <f t="shared" si="1"/>
        <v>0</v>
      </c>
      <c r="L33" s="98">
        <v>12</v>
      </c>
      <c r="M33" s="161">
        <v>0.1605</v>
      </c>
      <c r="N33" s="18">
        <v>0.5</v>
      </c>
      <c r="O33" s="15">
        <v>9955</v>
      </c>
      <c r="P33" s="17">
        <f>+'[1]CEDAR 031= 1,92 '!O33+'[1]CEDAR 031= 1,92 '!P33</f>
        <v>905</v>
      </c>
      <c r="Q33" s="17">
        <v>0</v>
      </c>
      <c r="R33" s="17">
        <v>0</v>
      </c>
      <c r="S33" s="17">
        <f t="shared" si="2"/>
        <v>0</v>
      </c>
      <c r="T33" s="17">
        <f t="shared" si="3"/>
        <v>0</v>
      </c>
      <c r="U33" s="17">
        <f t="shared" si="4"/>
        <v>10860</v>
      </c>
      <c r="V33" s="57">
        <f t="shared" si="5"/>
        <v>0</v>
      </c>
      <c r="W33" s="78">
        <f t="shared" ref="W33:W76" si="6">+S33*9</f>
        <v>0</v>
      </c>
      <c r="X33" s="75">
        <f t="shared" si="0"/>
        <v>-10860</v>
      </c>
    </row>
    <row r="34" spans="1:24" x14ac:dyDescent="0.25">
      <c r="A34" s="153">
        <v>25</v>
      </c>
      <c r="B34" s="22" t="s">
        <v>309</v>
      </c>
      <c r="C34" s="222" t="s">
        <v>601</v>
      </c>
      <c r="D34" s="7" t="s">
        <v>62</v>
      </c>
      <c r="E34" s="7">
        <v>1</v>
      </c>
      <c r="F34" s="15">
        <v>0</v>
      </c>
      <c r="G34" s="17"/>
      <c r="H34" s="17"/>
      <c r="I34" s="17"/>
      <c r="J34" s="21"/>
      <c r="K34" s="15">
        <f t="shared" si="1"/>
        <v>0</v>
      </c>
      <c r="L34" s="98">
        <v>12</v>
      </c>
      <c r="M34" s="161">
        <v>0.1605</v>
      </c>
      <c r="N34" s="18">
        <v>0.5</v>
      </c>
      <c r="O34" s="17">
        <v>7231.38</v>
      </c>
      <c r="P34" s="17">
        <f>+'[1]CEDAR 031= 1,92 '!O34+'[1]CEDAR 031= 1,92 '!P34</f>
        <v>2977.62</v>
      </c>
      <c r="Q34" s="17">
        <v>0</v>
      </c>
      <c r="R34" s="17">
        <v>0</v>
      </c>
      <c r="S34" s="17">
        <f>+T34/6</f>
        <v>0</v>
      </c>
      <c r="T34" s="17">
        <f t="shared" si="3"/>
        <v>0</v>
      </c>
      <c r="U34" s="17">
        <f t="shared" si="4"/>
        <v>10209</v>
      </c>
      <c r="V34" s="57">
        <f t="shared" si="5"/>
        <v>0</v>
      </c>
      <c r="W34" s="78">
        <f>T34</f>
        <v>0</v>
      </c>
      <c r="X34" s="75">
        <f t="shared" si="0"/>
        <v>-10209</v>
      </c>
    </row>
    <row r="35" spans="1:24" x14ac:dyDescent="0.25">
      <c r="A35" s="153">
        <v>26</v>
      </c>
      <c r="B35" s="22" t="s">
        <v>309</v>
      </c>
      <c r="C35" s="222" t="s">
        <v>602</v>
      </c>
      <c r="D35" s="7" t="s">
        <v>63</v>
      </c>
      <c r="E35" s="7">
        <v>1</v>
      </c>
      <c r="F35" s="15">
        <v>0</v>
      </c>
      <c r="G35" s="17"/>
      <c r="H35" s="17"/>
      <c r="I35" s="17"/>
      <c r="J35" s="21"/>
      <c r="K35" s="15">
        <f t="shared" si="1"/>
        <v>0</v>
      </c>
      <c r="L35" s="98">
        <v>12</v>
      </c>
      <c r="M35" s="161">
        <v>0.1605</v>
      </c>
      <c r="N35" s="18">
        <v>0.5</v>
      </c>
      <c r="O35" s="17">
        <v>3660.11</v>
      </c>
      <c r="P35" s="17">
        <f>+'[1]CEDAR 031= 1,92 '!O35+'[1]CEDAR 031= 1,92 '!P35</f>
        <v>1830.04</v>
      </c>
      <c r="Q35" s="17">
        <v>0</v>
      </c>
      <c r="R35" s="17">
        <v>0</v>
      </c>
      <c r="S35" s="17">
        <f>+T35/3</f>
        <v>0</v>
      </c>
      <c r="T35" s="17">
        <f t="shared" si="3"/>
        <v>0</v>
      </c>
      <c r="U35" s="17">
        <f t="shared" si="4"/>
        <v>5490.15</v>
      </c>
      <c r="V35" s="57">
        <f t="shared" si="5"/>
        <v>0</v>
      </c>
      <c r="W35" s="78">
        <f>T35</f>
        <v>0</v>
      </c>
      <c r="X35" s="75">
        <f t="shared" si="0"/>
        <v>-5490.15</v>
      </c>
    </row>
    <row r="36" spans="1:24" x14ac:dyDescent="0.25">
      <c r="A36" s="153">
        <v>27</v>
      </c>
      <c r="B36" s="22" t="s">
        <v>309</v>
      </c>
      <c r="C36" s="222" t="s">
        <v>603</v>
      </c>
      <c r="D36" s="7" t="s">
        <v>57</v>
      </c>
      <c r="E36" s="7">
        <v>1</v>
      </c>
      <c r="F36" s="15">
        <v>0</v>
      </c>
      <c r="G36" s="17"/>
      <c r="H36" s="17"/>
      <c r="I36" s="17"/>
      <c r="J36" s="21"/>
      <c r="K36" s="15">
        <f t="shared" si="1"/>
        <v>0</v>
      </c>
      <c r="L36" s="98">
        <v>12</v>
      </c>
      <c r="M36" s="161">
        <v>0.1605</v>
      </c>
      <c r="N36" s="18">
        <v>0.5</v>
      </c>
      <c r="O36" s="17">
        <v>23070</v>
      </c>
      <c r="P36" s="17">
        <f>+'[1]CEDAR 031= 1,92 '!O36+'[1]CEDAR 031= 1,92 '!P36</f>
        <v>23070</v>
      </c>
      <c r="Q36" s="17">
        <v>0</v>
      </c>
      <c r="R36" s="17">
        <v>0</v>
      </c>
      <c r="S36" s="17">
        <f t="shared" si="2"/>
        <v>0</v>
      </c>
      <c r="T36" s="17">
        <f t="shared" si="3"/>
        <v>0</v>
      </c>
      <c r="U36" s="17">
        <f t="shared" si="4"/>
        <v>46140</v>
      </c>
      <c r="V36" s="57">
        <f t="shared" si="5"/>
        <v>0</v>
      </c>
      <c r="W36" s="78">
        <f t="shared" si="6"/>
        <v>0</v>
      </c>
      <c r="X36" s="75">
        <f t="shared" si="0"/>
        <v>-46140</v>
      </c>
    </row>
    <row r="37" spans="1:24" x14ac:dyDescent="0.25">
      <c r="A37" s="153">
        <v>28</v>
      </c>
      <c r="B37" s="22" t="s">
        <v>309</v>
      </c>
      <c r="C37" s="222" t="s">
        <v>604</v>
      </c>
      <c r="D37" s="7" t="s">
        <v>64</v>
      </c>
      <c r="E37" s="7">
        <v>1</v>
      </c>
      <c r="F37" s="15">
        <v>0</v>
      </c>
      <c r="G37" s="17"/>
      <c r="H37" s="17"/>
      <c r="I37" s="17"/>
      <c r="J37" s="21"/>
      <c r="K37" s="15">
        <f t="shared" si="1"/>
        <v>0</v>
      </c>
      <c r="L37" s="98">
        <v>12</v>
      </c>
      <c r="M37" s="161">
        <v>0.1605</v>
      </c>
      <c r="N37" s="18">
        <v>0.5</v>
      </c>
      <c r="O37" s="15">
        <v>9528.74</v>
      </c>
      <c r="P37" s="17">
        <f>+'[1]CEDAR 031= 1,92 '!O37+'[1]CEDAR 031= 1,92 '!P37</f>
        <v>9528.76</v>
      </c>
      <c r="Q37" s="17">
        <v>0</v>
      </c>
      <c r="R37" s="17">
        <v>0</v>
      </c>
      <c r="S37" s="17">
        <f t="shared" si="2"/>
        <v>0</v>
      </c>
      <c r="T37" s="17">
        <f t="shared" si="3"/>
        <v>0</v>
      </c>
      <c r="U37" s="17">
        <f t="shared" si="4"/>
        <v>19057.5</v>
      </c>
      <c r="V37" s="57">
        <f t="shared" si="5"/>
        <v>0</v>
      </c>
      <c r="W37" s="78">
        <f t="shared" si="6"/>
        <v>0</v>
      </c>
      <c r="X37" s="75">
        <f t="shared" si="0"/>
        <v>-19057.5</v>
      </c>
    </row>
    <row r="38" spans="1:24" x14ac:dyDescent="0.25">
      <c r="A38" s="153">
        <v>29</v>
      </c>
      <c r="B38" s="22" t="s">
        <v>309</v>
      </c>
      <c r="C38" s="222" t="s">
        <v>605</v>
      </c>
      <c r="D38" s="7" t="s">
        <v>65</v>
      </c>
      <c r="E38" s="7">
        <v>1</v>
      </c>
      <c r="F38" s="15">
        <v>0</v>
      </c>
      <c r="G38" s="17"/>
      <c r="H38" s="17"/>
      <c r="I38" s="17"/>
      <c r="J38" s="21"/>
      <c r="K38" s="15">
        <f t="shared" si="1"/>
        <v>0</v>
      </c>
      <c r="L38" s="98">
        <v>12</v>
      </c>
      <c r="M38" s="161">
        <v>0.1605</v>
      </c>
      <c r="N38" s="18">
        <v>0.5</v>
      </c>
      <c r="O38" s="15">
        <v>3196.88</v>
      </c>
      <c r="P38" s="17">
        <f>+'[1]CEDAR 031= 1,92 '!O38+'[1]CEDAR 031= 1,92 '!P38</f>
        <v>290.62</v>
      </c>
      <c r="Q38" s="17">
        <v>0</v>
      </c>
      <c r="R38" s="17">
        <v>0</v>
      </c>
      <c r="S38" s="17">
        <f t="shared" si="2"/>
        <v>0</v>
      </c>
      <c r="T38" s="17">
        <f t="shared" si="3"/>
        <v>0</v>
      </c>
      <c r="U38" s="17">
        <f t="shared" si="4"/>
        <v>3487.5</v>
      </c>
      <c r="V38" s="57">
        <f t="shared" si="5"/>
        <v>0</v>
      </c>
      <c r="W38" s="78">
        <f t="shared" si="6"/>
        <v>0</v>
      </c>
      <c r="X38" s="75">
        <f t="shared" si="0"/>
        <v>-3487.5</v>
      </c>
    </row>
    <row r="39" spans="1:24" x14ac:dyDescent="0.25">
      <c r="A39" s="153">
        <v>30</v>
      </c>
      <c r="B39" s="22" t="s">
        <v>309</v>
      </c>
      <c r="C39" s="222" t="s">
        <v>606</v>
      </c>
      <c r="D39" s="7" t="s">
        <v>66</v>
      </c>
      <c r="E39" s="7">
        <v>1</v>
      </c>
      <c r="F39" s="15">
        <v>0</v>
      </c>
      <c r="G39" s="17"/>
      <c r="H39" s="17"/>
      <c r="I39" s="17"/>
      <c r="J39" s="21"/>
      <c r="K39" s="15">
        <f t="shared" si="1"/>
        <v>0</v>
      </c>
      <c r="L39" s="98">
        <v>12</v>
      </c>
      <c r="M39" s="161">
        <v>0.1605</v>
      </c>
      <c r="N39" s="18">
        <v>0.5</v>
      </c>
      <c r="O39" s="15">
        <v>58744.94</v>
      </c>
      <c r="P39" s="17">
        <f>+'[1]CEDAR 031= 1,92 '!O39+'[1]CEDAR 031= 1,92 '!P39</f>
        <v>24189.14</v>
      </c>
      <c r="Q39" s="17">
        <v>0</v>
      </c>
      <c r="R39" s="17">
        <v>0</v>
      </c>
      <c r="S39" s="17">
        <f t="shared" si="2"/>
        <v>0</v>
      </c>
      <c r="T39" s="17">
        <f t="shared" si="3"/>
        <v>0</v>
      </c>
      <c r="U39" s="17">
        <f t="shared" si="4"/>
        <v>82934.080000000002</v>
      </c>
      <c r="V39" s="57">
        <f t="shared" si="5"/>
        <v>0</v>
      </c>
      <c r="W39" s="78">
        <f t="shared" si="6"/>
        <v>0</v>
      </c>
      <c r="X39" s="75">
        <f t="shared" si="0"/>
        <v>-82934.080000000002</v>
      </c>
    </row>
    <row r="40" spans="1:24" x14ac:dyDescent="0.25">
      <c r="A40" s="153">
        <v>31</v>
      </c>
      <c r="B40" s="22" t="s">
        <v>309</v>
      </c>
      <c r="C40" s="222" t="s">
        <v>607</v>
      </c>
      <c r="D40" s="7" t="s">
        <v>67</v>
      </c>
      <c r="E40" s="7">
        <v>1</v>
      </c>
      <c r="F40" s="15">
        <v>359.32999999999993</v>
      </c>
      <c r="G40" s="17"/>
      <c r="H40" s="17"/>
      <c r="I40" s="17"/>
      <c r="J40" s="21"/>
      <c r="K40" s="15">
        <f t="shared" si="1"/>
        <v>359.32999999999993</v>
      </c>
      <c r="L40" s="98">
        <v>12</v>
      </c>
      <c r="M40" s="161">
        <v>0.1605</v>
      </c>
      <c r="N40" s="18">
        <v>0.5</v>
      </c>
      <c r="O40" s="15">
        <v>1796.67</v>
      </c>
      <c r="P40" s="17">
        <f>+'[1]CEDAR 031= 1,92 '!O40+'[1]CEDAR 031= 1,92 '!P40</f>
        <v>2156</v>
      </c>
      <c r="Q40" s="17">
        <v>359.33000000000004</v>
      </c>
      <c r="R40" s="17">
        <v>57.672464999999988</v>
      </c>
      <c r="S40" s="17">
        <v>0</v>
      </c>
      <c r="T40" s="17">
        <v>0</v>
      </c>
      <c r="U40" s="17">
        <f t="shared" si="4"/>
        <v>4312</v>
      </c>
      <c r="V40" s="57">
        <f t="shared" si="5"/>
        <v>-57.672465000000102</v>
      </c>
      <c r="W40" s="78">
        <f>T40</f>
        <v>0</v>
      </c>
      <c r="X40" s="75">
        <f t="shared" si="0"/>
        <v>-3593.34</v>
      </c>
    </row>
    <row r="41" spans="1:24" x14ac:dyDescent="0.25">
      <c r="A41" s="153">
        <v>32</v>
      </c>
      <c r="B41" s="22" t="s">
        <v>309</v>
      </c>
      <c r="C41" s="222" t="s">
        <v>608</v>
      </c>
      <c r="D41" s="7" t="s">
        <v>68</v>
      </c>
      <c r="E41" s="7">
        <v>1</v>
      </c>
      <c r="F41" s="15">
        <v>332.37999999999988</v>
      </c>
      <c r="G41" s="17"/>
      <c r="H41" s="17"/>
      <c r="I41" s="17"/>
      <c r="J41" s="21"/>
      <c r="K41" s="15">
        <f t="shared" si="1"/>
        <v>332.37999999999988</v>
      </c>
      <c r="L41" s="98">
        <v>12</v>
      </c>
      <c r="M41" s="161">
        <v>0.1605</v>
      </c>
      <c r="N41" s="18">
        <v>0.5</v>
      </c>
      <c r="O41" s="15">
        <v>1661.92</v>
      </c>
      <c r="P41" s="17">
        <f>+'[1]CEDAR 031= 1,92 '!O41+'[1]CEDAR 031= 1,92 '!P41</f>
        <v>1994.3</v>
      </c>
      <c r="Q41" s="17">
        <v>332.38</v>
      </c>
      <c r="R41" s="17">
        <v>53.346989999999984</v>
      </c>
      <c r="S41" s="17">
        <v>0</v>
      </c>
      <c r="T41" s="17">
        <v>0</v>
      </c>
      <c r="U41" s="17">
        <f t="shared" si="4"/>
        <v>3988.6000000000004</v>
      </c>
      <c r="V41" s="57">
        <f t="shared" si="5"/>
        <v>-53.346990000000098</v>
      </c>
      <c r="W41" s="78">
        <f>T41</f>
        <v>0</v>
      </c>
      <c r="X41" s="75">
        <f t="shared" si="0"/>
        <v>-3323.84</v>
      </c>
    </row>
    <row r="42" spans="1:24" x14ac:dyDescent="0.25">
      <c r="A42" s="153">
        <v>33</v>
      </c>
      <c r="B42" s="22" t="s">
        <v>309</v>
      </c>
      <c r="C42" s="222" t="s">
        <v>609</v>
      </c>
      <c r="D42" s="7" t="s">
        <v>69</v>
      </c>
      <c r="E42" s="7">
        <v>1</v>
      </c>
      <c r="F42" s="15">
        <v>5147.4900000000016</v>
      </c>
      <c r="G42" s="17"/>
      <c r="H42" s="17"/>
      <c r="I42" s="17"/>
      <c r="J42" s="21"/>
      <c r="K42" s="15">
        <f t="shared" si="1"/>
        <v>5147.4900000000016</v>
      </c>
      <c r="L42" s="98">
        <v>12</v>
      </c>
      <c r="M42" s="161">
        <v>0.1605</v>
      </c>
      <c r="N42" s="18">
        <v>0.5</v>
      </c>
      <c r="O42" s="15">
        <v>5147.4799999999996</v>
      </c>
      <c r="P42" s="17">
        <f>+'[1]CEDAR 031= 1,92 '!O42+'[1]CEDAR 031= 1,92 '!P42</f>
        <v>10294.959999999999</v>
      </c>
      <c r="Q42" s="17">
        <v>2058.9929999999999</v>
      </c>
      <c r="R42" s="17">
        <v>826.17214500000023</v>
      </c>
      <c r="S42" s="17">
        <f t="shared" si="2"/>
        <v>68.847678750000014</v>
      </c>
      <c r="T42" s="17">
        <f t="shared" si="3"/>
        <v>826.17214500000023</v>
      </c>
      <c r="U42" s="17">
        <f t="shared" si="4"/>
        <v>18327.605144999998</v>
      </c>
      <c r="V42" s="57">
        <f t="shared" si="5"/>
        <v>1436.1527100000014</v>
      </c>
      <c r="W42" s="78">
        <f t="shared" si="6"/>
        <v>619.62910875000011</v>
      </c>
      <c r="X42" s="75">
        <f t="shared" si="0"/>
        <v>-10914.579108749997</v>
      </c>
    </row>
    <row r="43" spans="1:24" x14ac:dyDescent="0.25">
      <c r="A43" s="153">
        <v>34</v>
      </c>
      <c r="B43" s="22" t="s">
        <v>309</v>
      </c>
      <c r="C43" s="222" t="s">
        <v>610</v>
      </c>
      <c r="D43" s="7" t="s">
        <v>70</v>
      </c>
      <c r="E43" s="7">
        <v>1</v>
      </c>
      <c r="F43" s="15">
        <v>1632.75</v>
      </c>
      <c r="G43" s="17"/>
      <c r="H43" s="17"/>
      <c r="I43" s="17"/>
      <c r="J43" s="21"/>
      <c r="K43" s="15">
        <f t="shared" si="1"/>
        <v>1632.75</v>
      </c>
      <c r="L43" s="98">
        <v>12</v>
      </c>
      <c r="M43" s="161">
        <v>0.1605</v>
      </c>
      <c r="N43" s="18">
        <v>0.5</v>
      </c>
      <c r="O43" s="17">
        <v>1632.75</v>
      </c>
      <c r="P43" s="17">
        <f>+'[1]CEDAR 031= 1,92 '!O43+'[1]CEDAR 031= 1,92 '!P43</f>
        <v>3265.5</v>
      </c>
      <c r="Q43" s="17">
        <v>653.1</v>
      </c>
      <c r="R43" s="17">
        <v>262.056375</v>
      </c>
      <c r="S43" s="17">
        <f t="shared" si="2"/>
        <v>21.83803125</v>
      </c>
      <c r="T43" s="17">
        <f t="shared" si="3"/>
        <v>262.056375</v>
      </c>
      <c r="U43" s="17">
        <f t="shared" si="4"/>
        <v>5813.4063750000005</v>
      </c>
      <c r="V43" s="57">
        <f t="shared" si="5"/>
        <v>455.53724999999997</v>
      </c>
      <c r="W43" s="78">
        <f t="shared" si="6"/>
        <v>196.54228125</v>
      </c>
      <c r="X43" s="75">
        <f t="shared" ref="X43:X74" si="7">+K43-O43-P43-W43</f>
        <v>-3462.0422812500001</v>
      </c>
    </row>
    <row r="44" spans="1:24" x14ac:dyDescent="0.25">
      <c r="A44" s="153">
        <v>35</v>
      </c>
      <c r="B44" s="22" t="s">
        <v>309</v>
      </c>
      <c r="C44" s="222" t="s">
        <v>611</v>
      </c>
      <c r="D44" s="7" t="s">
        <v>71</v>
      </c>
      <c r="E44" s="7">
        <v>1</v>
      </c>
      <c r="F44" s="15">
        <v>3000</v>
      </c>
      <c r="G44" s="17"/>
      <c r="H44" s="17"/>
      <c r="I44" s="17"/>
      <c r="J44" s="21"/>
      <c r="K44" s="15">
        <f t="shared" si="1"/>
        <v>3000</v>
      </c>
      <c r="L44" s="98">
        <v>12</v>
      </c>
      <c r="M44" s="161">
        <v>0.1605</v>
      </c>
      <c r="N44" s="18">
        <v>0.5</v>
      </c>
      <c r="O44" s="17">
        <v>3000</v>
      </c>
      <c r="P44" s="17">
        <f>+'[1]CEDAR 031= 1,92 '!O44+'[1]CEDAR 031= 1,92 '!P44</f>
        <v>6000</v>
      </c>
      <c r="Q44" s="17">
        <v>1200</v>
      </c>
      <c r="R44" s="17">
        <v>481.5</v>
      </c>
      <c r="S44" s="17">
        <f t="shared" si="2"/>
        <v>40.125</v>
      </c>
      <c r="T44" s="17">
        <f t="shared" si="3"/>
        <v>481.5</v>
      </c>
      <c r="U44" s="17">
        <f t="shared" si="4"/>
        <v>10681.5</v>
      </c>
      <c r="V44" s="57">
        <f t="shared" si="5"/>
        <v>837</v>
      </c>
      <c r="W44" s="78">
        <f t="shared" si="6"/>
        <v>361.125</v>
      </c>
      <c r="X44" s="75">
        <f t="shared" si="7"/>
        <v>-6361.125</v>
      </c>
    </row>
    <row r="45" spans="1:24" x14ac:dyDescent="0.25">
      <c r="A45" s="153">
        <v>36</v>
      </c>
      <c r="B45" s="22" t="s">
        <v>309</v>
      </c>
      <c r="C45" s="222" t="s">
        <v>612</v>
      </c>
      <c r="D45" s="7" t="s">
        <v>72</v>
      </c>
      <c r="E45" s="7">
        <v>1</v>
      </c>
      <c r="F45" s="15">
        <v>4250</v>
      </c>
      <c r="G45" s="17"/>
      <c r="H45" s="17"/>
      <c r="I45" s="17"/>
      <c r="J45" s="21"/>
      <c r="K45" s="15">
        <f t="shared" si="1"/>
        <v>4250</v>
      </c>
      <c r="L45" s="98">
        <v>12</v>
      </c>
      <c r="M45" s="161">
        <v>0.1605</v>
      </c>
      <c r="N45" s="18">
        <v>0.5</v>
      </c>
      <c r="O45" s="15">
        <v>4250</v>
      </c>
      <c r="P45" s="17">
        <f>+'[1]CEDAR 031= 1,92 '!O45+'[1]CEDAR 031= 1,92 '!P45</f>
        <v>8500</v>
      </c>
      <c r="Q45" s="17">
        <v>1700</v>
      </c>
      <c r="R45" s="17">
        <v>682.125</v>
      </c>
      <c r="S45" s="17">
        <f t="shared" si="2"/>
        <v>56.84375</v>
      </c>
      <c r="T45" s="17">
        <f t="shared" si="3"/>
        <v>682.125</v>
      </c>
      <c r="U45" s="17">
        <f t="shared" si="4"/>
        <v>15132.125</v>
      </c>
      <c r="V45" s="57">
        <f t="shared" si="5"/>
        <v>1185.75</v>
      </c>
      <c r="W45" s="78">
        <f t="shared" si="6"/>
        <v>511.59375</v>
      </c>
      <c r="X45" s="75">
        <f t="shared" si="7"/>
        <v>-9011.59375</v>
      </c>
    </row>
    <row r="46" spans="1:24" x14ac:dyDescent="0.25">
      <c r="A46" s="153">
        <v>37</v>
      </c>
      <c r="B46" s="22" t="s">
        <v>309</v>
      </c>
      <c r="C46" s="222" t="s">
        <v>613</v>
      </c>
      <c r="D46" s="7" t="s">
        <v>73</v>
      </c>
      <c r="E46" s="7">
        <v>1</v>
      </c>
      <c r="F46" s="15">
        <v>3000</v>
      </c>
      <c r="G46" s="17"/>
      <c r="H46" s="17"/>
      <c r="I46" s="17"/>
      <c r="J46" s="21"/>
      <c r="K46" s="15">
        <f t="shared" si="1"/>
        <v>3000</v>
      </c>
      <c r="L46" s="98">
        <v>12</v>
      </c>
      <c r="M46" s="161">
        <v>0.1605</v>
      </c>
      <c r="N46" s="18">
        <v>0.5</v>
      </c>
      <c r="O46" s="15">
        <v>3000</v>
      </c>
      <c r="P46" s="17">
        <f>+'[1]CEDAR 031= 1,92 '!O46+'[1]CEDAR 031= 1,92 '!P46</f>
        <v>6000</v>
      </c>
      <c r="Q46" s="17">
        <v>1200</v>
      </c>
      <c r="R46" s="17">
        <v>481.5</v>
      </c>
      <c r="S46" s="17">
        <f t="shared" si="2"/>
        <v>40.125</v>
      </c>
      <c r="T46" s="17">
        <f t="shared" si="3"/>
        <v>481.5</v>
      </c>
      <c r="U46" s="17">
        <f t="shared" si="4"/>
        <v>10681.5</v>
      </c>
      <c r="V46" s="57">
        <f t="shared" si="5"/>
        <v>837</v>
      </c>
      <c r="W46" s="78">
        <f t="shared" si="6"/>
        <v>361.125</v>
      </c>
      <c r="X46" s="75">
        <f t="shared" si="7"/>
        <v>-6361.125</v>
      </c>
    </row>
    <row r="47" spans="1:24" x14ac:dyDescent="0.25">
      <c r="A47" s="153">
        <v>38</v>
      </c>
      <c r="B47" s="22" t="s">
        <v>309</v>
      </c>
      <c r="C47" s="222" t="s">
        <v>614</v>
      </c>
      <c r="D47" s="7" t="s">
        <v>74</v>
      </c>
      <c r="E47" s="7">
        <v>1</v>
      </c>
      <c r="F47" s="15">
        <v>3000</v>
      </c>
      <c r="G47" s="17"/>
      <c r="H47" s="17"/>
      <c r="I47" s="17"/>
      <c r="J47" s="21"/>
      <c r="K47" s="15">
        <f t="shared" si="1"/>
        <v>3000</v>
      </c>
      <c r="L47" s="98">
        <v>12</v>
      </c>
      <c r="M47" s="161">
        <v>0.1605</v>
      </c>
      <c r="N47" s="18">
        <v>0.5</v>
      </c>
      <c r="O47" s="15">
        <v>3000</v>
      </c>
      <c r="P47" s="17">
        <f>+'[1]CEDAR 031= 1,92 '!O47+'[1]CEDAR 031= 1,92 '!P47</f>
        <v>6000</v>
      </c>
      <c r="Q47" s="17">
        <v>1200</v>
      </c>
      <c r="R47" s="17">
        <v>481.5</v>
      </c>
      <c r="S47" s="17">
        <f t="shared" si="2"/>
        <v>40.125</v>
      </c>
      <c r="T47" s="17">
        <f t="shared" si="3"/>
        <v>481.5</v>
      </c>
      <c r="U47" s="17">
        <f t="shared" si="4"/>
        <v>10681.5</v>
      </c>
      <c r="V47" s="57">
        <f t="shared" si="5"/>
        <v>837</v>
      </c>
      <c r="W47" s="78">
        <f t="shared" si="6"/>
        <v>361.125</v>
      </c>
      <c r="X47" s="75">
        <f t="shared" si="7"/>
        <v>-6361.125</v>
      </c>
    </row>
    <row r="48" spans="1:24" x14ac:dyDescent="0.25">
      <c r="A48" s="153">
        <v>39</v>
      </c>
      <c r="B48" s="22" t="s">
        <v>309</v>
      </c>
      <c r="C48" s="222" t="s">
        <v>615</v>
      </c>
      <c r="D48" s="7" t="s">
        <v>75</v>
      </c>
      <c r="E48" s="7">
        <v>1</v>
      </c>
      <c r="F48" s="15">
        <v>1750</v>
      </c>
      <c r="G48" s="17"/>
      <c r="H48" s="17"/>
      <c r="I48" s="17"/>
      <c r="J48" s="21"/>
      <c r="K48" s="15">
        <f t="shared" si="1"/>
        <v>1750</v>
      </c>
      <c r="L48" s="98">
        <v>12</v>
      </c>
      <c r="M48" s="161">
        <v>0.1605</v>
      </c>
      <c r="N48" s="18">
        <v>0.5</v>
      </c>
      <c r="O48" s="15">
        <v>1750</v>
      </c>
      <c r="P48" s="17">
        <f>+'[1]CEDAR 031= 1,92 '!O48+'[1]CEDAR 031= 1,92 '!P48</f>
        <v>3500</v>
      </c>
      <c r="Q48" s="17">
        <v>700</v>
      </c>
      <c r="R48" s="17">
        <v>280.875</v>
      </c>
      <c r="S48" s="17">
        <f t="shared" si="2"/>
        <v>23.40625</v>
      </c>
      <c r="T48" s="17">
        <f t="shared" si="3"/>
        <v>280.875</v>
      </c>
      <c r="U48" s="17">
        <f t="shared" si="4"/>
        <v>6230.875</v>
      </c>
      <c r="V48" s="57">
        <f t="shared" si="5"/>
        <v>488.25</v>
      </c>
      <c r="W48" s="78">
        <f t="shared" si="6"/>
        <v>210.65625</v>
      </c>
      <c r="X48" s="75">
        <f t="shared" si="7"/>
        <v>-3710.65625</v>
      </c>
    </row>
    <row r="49" spans="1:24" x14ac:dyDescent="0.25">
      <c r="A49" s="153">
        <v>40</v>
      </c>
      <c r="B49" s="22" t="s">
        <v>309</v>
      </c>
      <c r="C49" s="222" t="s">
        <v>616</v>
      </c>
      <c r="D49" s="7" t="s">
        <v>76</v>
      </c>
      <c r="E49" s="7">
        <v>1</v>
      </c>
      <c r="F49" s="15">
        <v>3750</v>
      </c>
      <c r="G49" s="17"/>
      <c r="H49" s="17"/>
      <c r="I49" s="17"/>
      <c r="J49" s="21"/>
      <c r="K49" s="15">
        <f t="shared" si="1"/>
        <v>3750</v>
      </c>
      <c r="L49" s="98">
        <v>12</v>
      </c>
      <c r="M49" s="161">
        <v>0.1605</v>
      </c>
      <c r="N49" s="18">
        <v>0.5</v>
      </c>
      <c r="O49" s="15">
        <v>3750</v>
      </c>
      <c r="P49" s="17">
        <f>+'[1]CEDAR 031= 1,92 '!O49+'[1]CEDAR 031= 1,92 '!P49</f>
        <v>7500</v>
      </c>
      <c r="Q49" s="17">
        <v>1500</v>
      </c>
      <c r="R49" s="17">
        <v>601.875</v>
      </c>
      <c r="S49" s="17">
        <f t="shared" si="2"/>
        <v>50.15625</v>
      </c>
      <c r="T49" s="17">
        <f t="shared" si="3"/>
        <v>601.875</v>
      </c>
      <c r="U49" s="17">
        <f t="shared" si="4"/>
        <v>13351.875</v>
      </c>
      <c r="V49" s="57">
        <f t="shared" si="5"/>
        <v>1046.25</v>
      </c>
      <c r="W49" s="78">
        <f t="shared" si="6"/>
        <v>451.40625</v>
      </c>
      <c r="X49" s="75">
        <f t="shared" si="7"/>
        <v>-7951.40625</v>
      </c>
    </row>
    <row r="50" spans="1:24" x14ac:dyDescent="0.25">
      <c r="A50" s="153">
        <v>41</v>
      </c>
      <c r="B50" s="22" t="s">
        <v>309</v>
      </c>
      <c r="C50" s="222" t="s">
        <v>617</v>
      </c>
      <c r="D50" s="7" t="s">
        <v>77</v>
      </c>
      <c r="E50" s="7">
        <v>1</v>
      </c>
      <c r="F50" s="15">
        <v>3750</v>
      </c>
      <c r="G50" s="17"/>
      <c r="H50" s="17"/>
      <c r="I50" s="17"/>
      <c r="J50" s="21"/>
      <c r="K50" s="15">
        <f t="shared" si="1"/>
        <v>3750</v>
      </c>
      <c r="L50" s="98">
        <v>12</v>
      </c>
      <c r="M50" s="161">
        <v>0.1605</v>
      </c>
      <c r="N50" s="18">
        <v>0.5</v>
      </c>
      <c r="O50" s="15">
        <v>3750</v>
      </c>
      <c r="P50" s="17">
        <f>+'[1]CEDAR 031= 1,92 '!O50+'[1]CEDAR 031= 1,92 '!P50</f>
        <v>7500</v>
      </c>
      <c r="Q50" s="17">
        <v>1500</v>
      </c>
      <c r="R50" s="17">
        <v>601.875</v>
      </c>
      <c r="S50" s="17">
        <f t="shared" si="2"/>
        <v>50.15625</v>
      </c>
      <c r="T50" s="17">
        <f t="shared" si="3"/>
        <v>601.875</v>
      </c>
      <c r="U50" s="17">
        <f t="shared" si="4"/>
        <v>13351.875</v>
      </c>
      <c r="V50" s="57">
        <f t="shared" si="5"/>
        <v>1046.25</v>
      </c>
      <c r="W50" s="78">
        <f t="shared" si="6"/>
        <v>451.40625</v>
      </c>
      <c r="X50" s="75">
        <f t="shared" si="7"/>
        <v>-7951.40625</v>
      </c>
    </row>
    <row r="51" spans="1:24" x14ac:dyDescent="0.25">
      <c r="A51" s="153">
        <v>42</v>
      </c>
      <c r="B51" s="22" t="s">
        <v>309</v>
      </c>
      <c r="C51" s="222" t="s">
        <v>618</v>
      </c>
      <c r="D51" s="7" t="s">
        <v>78</v>
      </c>
      <c r="E51" s="7">
        <v>1</v>
      </c>
      <c r="F51" s="15">
        <v>2500</v>
      </c>
      <c r="G51" s="17"/>
      <c r="H51" s="17"/>
      <c r="I51" s="17"/>
      <c r="J51" s="21"/>
      <c r="K51" s="15">
        <f t="shared" si="1"/>
        <v>2500</v>
      </c>
      <c r="L51" s="98">
        <v>12</v>
      </c>
      <c r="M51" s="161">
        <v>0.1605</v>
      </c>
      <c r="N51" s="18">
        <v>0.5</v>
      </c>
      <c r="O51" s="15">
        <v>2500</v>
      </c>
      <c r="P51" s="17">
        <f>+'[1]CEDAR 031= 1,92 '!O51+'[1]CEDAR 031= 1,92 '!P51</f>
        <v>5000</v>
      </c>
      <c r="Q51" s="17">
        <v>1000</v>
      </c>
      <c r="R51" s="17">
        <v>401.25</v>
      </c>
      <c r="S51" s="17">
        <f t="shared" si="2"/>
        <v>33.4375</v>
      </c>
      <c r="T51" s="17">
        <f t="shared" si="3"/>
        <v>401.25</v>
      </c>
      <c r="U51" s="17">
        <f t="shared" si="4"/>
        <v>8901.25</v>
      </c>
      <c r="V51" s="57">
        <f t="shared" si="5"/>
        <v>697.5</v>
      </c>
      <c r="W51" s="78">
        <f t="shared" si="6"/>
        <v>300.9375</v>
      </c>
      <c r="X51" s="75">
        <f t="shared" si="7"/>
        <v>-5300.9375</v>
      </c>
    </row>
    <row r="52" spans="1:24" x14ac:dyDescent="0.25">
      <c r="A52" s="153">
        <v>43</v>
      </c>
      <c r="B52" s="22" t="s">
        <v>309</v>
      </c>
      <c r="C52" s="222" t="s">
        <v>619</v>
      </c>
      <c r="D52" s="7" t="s">
        <v>79</v>
      </c>
      <c r="E52" s="7">
        <v>1</v>
      </c>
      <c r="F52" s="15">
        <v>1375</v>
      </c>
      <c r="G52" s="17"/>
      <c r="H52" s="17"/>
      <c r="I52" s="17"/>
      <c r="J52" s="21"/>
      <c r="K52" s="15">
        <f t="shared" si="1"/>
        <v>1375</v>
      </c>
      <c r="L52" s="98">
        <v>12</v>
      </c>
      <c r="M52" s="161">
        <v>0.1605</v>
      </c>
      <c r="N52" s="18">
        <v>0.5</v>
      </c>
      <c r="O52" s="15">
        <v>1375</v>
      </c>
      <c r="P52" s="17">
        <f>+'[1]CEDAR 031= 1,92 '!O52+'[1]CEDAR 031= 1,92 '!P52</f>
        <v>2750</v>
      </c>
      <c r="Q52" s="17">
        <v>550</v>
      </c>
      <c r="R52" s="17">
        <v>220.6875</v>
      </c>
      <c r="S52" s="17">
        <f t="shared" si="2"/>
        <v>18.390625</v>
      </c>
      <c r="T52" s="17">
        <f t="shared" si="3"/>
        <v>220.6875</v>
      </c>
      <c r="U52" s="17">
        <f t="shared" si="4"/>
        <v>4895.6875</v>
      </c>
      <c r="V52" s="57">
        <f t="shared" si="5"/>
        <v>383.625</v>
      </c>
      <c r="W52" s="78">
        <f t="shared" si="6"/>
        <v>165.515625</v>
      </c>
      <c r="X52" s="75">
        <f t="shared" si="7"/>
        <v>-2915.515625</v>
      </c>
    </row>
    <row r="53" spans="1:24" x14ac:dyDescent="0.25">
      <c r="A53" s="153">
        <v>44</v>
      </c>
      <c r="B53" s="22" t="s">
        <v>309</v>
      </c>
      <c r="C53" s="222" t="s">
        <v>620</v>
      </c>
      <c r="D53" s="7" t="s">
        <v>43</v>
      </c>
      <c r="E53" s="7">
        <v>1</v>
      </c>
      <c r="F53" s="15">
        <v>1000</v>
      </c>
      <c r="G53" s="17"/>
      <c r="H53" s="17"/>
      <c r="I53" s="17"/>
      <c r="J53" s="21"/>
      <c r="K53" s="15">
        <f t="shared" si="1"/>
        <v>1000</v>
      </c>
      <c r="L53" s="98">
        <v>12</v>
      </c>
      <c r="M53" s="161">
        <v>0.1605</v>
      </c>
      <c r="N53" s="18">
        <v>0.5</v>
      </c>
      <c r="O53" s="15">
        <v>1000</v>
      </c>
      <c r="P53" s="17">
        <f>+'[1]CEDAR 031= 1,92 '!O53+'[1]CEDAR 031= 1,92 '!P53</f>
        <v>2000</v>
      </c>
      <c r="Q53" s="17">
        <v>400</v>
      </c>
      <c r="R53" s="17">
        <v>160.5</v>
      </c>
      <c r="S53" s="17">
        <f t="shared" si="2"/>
        <v>13.375</v>
      </c>
      <c r="T53" s="17">
        <f t="shared" si="3"/>
        <v>160.5</v>
      </c>
      <c r="U53" s="17">
        <f t="shared" si="4"/>
        <v>3560.5</v>
      </c>
      <c r="V53" s="57">
        <f t="shared" si="5"/>
        <v>279</v>
      </c>
      <c r="W53" s="78">
        <f t="shared" si="6"/>
        <v>120.375</v>
      </c>
      <c r="X53" s="75">
        <f t="shared" si="7"/>
        <v>-2120.375</v>
      </c>
    </row>
    <row r="54" spans="1:24" x14ac:dyDescent="0.25">
      <c r="A54" s="153">
        <v>45</v>
      </c>
      <c r="B54" s="22" t="s">
        <v>309</v>
      </c>
      <c r="C54" s="222" t="s">
        <v>621</v>
      </c>
      <c r="D54" s="7" t="s">
        <v>43</v>
      </c>
      <c r="E54" s="7">
        <v>1</v>
      </c>
      <c r="F54" s="15">
        <v>1000</v>
      </c>
      <c r="G54" s="17"/>
      <c r="H54" s="17"/>
      <c r="I54" s="17"/>
      <c r="J54" s="21"/>
      <c r="K54" s="15">
        <f t="shared" si="1"/>
        <v>1000</v>
      </c>
      <c r="L54" s="98">
        <v>12</v>
      </c>
      <c r="M54" s="161">
        <v>0.1605</v>
      </c>
      <c r="N54" s="18">
        <v>0.5</v>
      </c>
      <c r="O54" s="15">
        <v>1000</v>
      </c>
      <c r="P54" s="17">
        <f>+'[1]CEDAR 031= 1,92 '!O54+'[1]CEDAR 031= 1,92 '!P54</f>
        <v>2000</v>
      </c>
      <c r="Q54" s="17">
        <v>400</v>
      </c>
      <c r="R54" s="17">
        <v>160.5</v>
      </c>
      <c r="S54" s="17">
        <f t="shared" si="2"/>
        <v>13.375</v>
      </c>
      <c r="T54" s="17">
        <f t="shared" si="3"/>
        <v>160.5</v>
      </c>
      <c r="U54" s="17">
        <f t="shared" si="4"/>
        <v>3560.5</v>
      </c>
      <c r="V54" s="57">
        <f t="shared" si="5"/>
        <v>279</v>
      </c>
      <c r="W54" s="78">
        <f t="shared" si="6"/>
        <v>120.375</v>
      </c>
      <c r="X54" s="75">
        <f t="shared" si="7"/>
        <v>-2120.375</v>
      </c>
    </row>
    <row r="55" spans="1:24" x14ac:dyDescent="0.25">
      <c r="A55" s="153">
        <v>46</v>
      </c>
      <c r="B55" s="22" t="s">
        <v>309</v>
      </c>
      <c r="C55" s="222" t="s">
        <v>622</v>
      </c>
      <c r="D55" s="7" t="s">
        <v>80</v>
      </c>
      <c r="E55" s="7">
        <v>1</v>
      </c>
      <c r="F55" s="15">
        <v>1250</v>
      </c>
      <c r="G55" s="17"/>
      <c r="H55" s="17"/>
      <c r="I55" s="17"/>
      <c r="J55" s="21"/>
      <c r="K55" s="15">
        <f t="shared" si="1"/>
        <v>1250</v>
      </c>
      <c r="L55" s="98">
        <v>12</v>
      </c>
      <c r="M55" s="161">
        <v>0.1605</v>
      </c>
      <c r="N55" s="18">
        <v>0.5</v>
      </c>
      <c r="O55" s="15">
        <v>1250</v>
      </c>
      <c r="P55" s="17">
        <f>+'[1]CEDAR 031= 1,92 '!O55+'[1]CEDAR 031= 1,92 '!P55</f>
        <v>2500</v>
      </c>
      <c r="Q55" s="17">
        <v>500</v>
      </c>
      <c r="R55" s="17">
        <v>200.625</v>
      </c>
      <c r="S55" s="17">
        <f>+T55/12</f>
        <v>16.71875</v>
      </c>
      <c r="T55" s="17">
        <f t="shared" si="3"/>
        <v>200.625</v>
      </c>
      <c r="U55" s="17">
        <f t="shared" si="4"/>
        <v>4450.625</v>
      </c>
      <c r="V55" s="57">
        <f t="shared" si="5"/>
        <v>348.75</v>
      </c>
      <c r="W55" s="78">
        <f t="shared" si="6"/>
        <v>150.46875</v>
      </c>
      <c r="X55" s="75">
        <f t="shared" si="7"/>
        <v>-2650.46875</v>
      </c>
    </row>
    <row r="56" spans="1:24" x14ac:dyDescent="0.25">
      <c r="A56" s="153">
        <v>47</v>
      </c>
      <c r="B56" s="22" t="s">
        <v>309</v>
      </c>
      <c r="C56" s="222" t="s">
        <v>623</v>
      </c>
      <c r="D56" s="7" t="s">
        <v>81</v>
      </c>
      <c r="E56" s="7">
        <v>1</v>
      </c>
      <c r="F56" s="15">
        <v>7656.2400000000016</v>
      </c>
      <c r="G56" s="17"/>
      <c r="H56" s="17"/>
      <c r="I56" s="17"/>
      <c r="J56" s="21"/>
      <c r="K56" s="15">
        <f t="shared" si="1"/>
        <v>7656.2400000000016</v>
      </c>
      <c r="L56" s="98">
        <v>12</v>
      </c>
      <c r="M56" s="161">
        <v>0.1605</v>
      </c>
      <c r="N56" s="18">
        <v>0.5</v>
      </c>
      <c r="O56" s="15">
        <v>7656.24</v>
      </c>
      <c r="P56" s="17">
        <f>+'[1]CEDAR 031= 1,92 '!O56+'[1]CEDAR 031= 1,92 '!P56</f>
        <v>15312.48</v>
      </c>
      <c r="Q56" s="17">
        <v>3062.4960000000001</v>
      </c>
      <c r="R56" s="17">
        <v>1228.8265200000003</v>
      </c>
      <c r="S56" s="17">
        <f t="shared" si="2"/>
        <v>102.40221000000003</v>
      </c>
      <c r="T56" s="17">
        <f t="shared" si="3"/>
        <v>1228.8265200000003</v>
      </c>
      <c r="U56" s="17">
        <f t="shared" si="4"/>
        <v>27260.042519999999</v>
      </c>
      <c r="V56" s="57">
        <f t="shared" si="5"/>
        <v>2136.0909600000005</v>
      </c>
      <c r="W56" s="78">
        <f t="shared" si="6"/>
        <v>921.61989000000017</v>
      </c>
      <c r="X56" s="75">
        <f t="shared" si="7"/>
        <v>-16234.099889999998</v>
      </c>
    </row>
    <row r="57" spans="1:24" x14ac:dyDescent="0.25">
      <c r="A57" s="153">
        <v>48</v>
      </c>
      <c r="B57" s="22" t="s">
        <v>309</v>
      </c>
      <c r="C57" s="222" t="s">
        <v>624</v>
      </c>
      <c r="D57" s="7" t="s">
        <v>81</v>
      </c>
      <c r="E57" s="7">
        <v>1</v>
      </c>
      <c r="F57" s="15">
        <v>8161.2199999999993</v>
      </c>
      <c r="G57" s="17"/>
      <c r="H57" s="17"/>
      <c r="I57" s="17"/>
      <c r="J57" s="21"/>
      <c r="K57" s="15">
        <f t="shared" si="1"/>
        <v>8161.2199999999993</v>
      </c>
      <c r="L57" s="98">
        <v>12</v>
      </c>
      <c r="M57" s="161">
        <v>0.1605</v>
      </c>
      <c r="N57" s="18">
        <v>0.5</v>
      </c>
      <c r="O57" s="15">
        <v>8161.22</v>
      </c>
      <c r="P57" s="17">
        <f>+'[1]CEDAR 031= 1,92 '!O57+'[1]CEDAR 031= 1,92 '!P57</f>
        <v>16322.44</v>
      </c>
      <c r="Q57" s="17">
        <v>3264.4880000000003</v>
      </c>
      <c r="R57" s="17">
        <v>1309.87581</v>
      </c>
      <c r="S57" s="17">
        <f t="shared" si="2"/>
        <v>109.1563175</v>
      </c>
      <c r="T57" s="17">
        <f>+K57*M57</f>
        <v>1309.87581</v>
      </c>
      <c r="U57" s="17">
        <f t="shared" si="4"/>
        <v>29058.023810000002</v>
      </c>
      <c r="V57" s="57">
        <f t="shared" si="5"/>
        <v>2276.9803799999991</v>
      </c>
      <c r="W57" s="78">
        <f t="shared" si="6"/>
        <v>982.4068575</v>
      </c>
      <c r="X57" s="75">
        <f t="shared" si="7"/>
        <v>-17304.846857500001</v>
      </c>
    </row>
    <row r="58" spans="1:24" x14ac:dyDescent="0.25">
      <c r="A58" s="153">
        <v>49</v>
      </c>
      <c r="B58" s="22" t="s">
        <v>309</v>
      </c>
      <c r="C58" s="222" t="s">
        <v>625</v>
      </c>
      <c r="D58" s="7" t="s">
        <v>82</v>
      </c>
      <c r="E58" s="7">
        <v>1</v>
      </c>
      <c r="F58" s="15">
        <v>2770.83</v>
      </c>
      <c r="G58" s="17"/>
      <c r="H58" s="17"/>
      <c r="I58" s="17"/>
      <c r="J58" s="21"/>
      <c r="K58" s="15">
        <f t="shared" si="1"/>
        <v>2770.83</v>
      </c>
      <c r="L58" s="98">
        <v>12</v>
      </c>
      <c r="M58" s="161">
        <v>0.1605</v>
      </c>
      <c r="N58" s="18">
        <v>0.5</v>
      </c>
      <c r="O58" s="15">
        <v>1979.17</v>
      </c>
      <c r="P58" s="17">
        <f>+'[1]CEDAR 031= 1,92 '!O58+'[1]CEDAR 031= 1,92 '!P58</f>
        <v>4750</v>
      </c>
      <c r="Q58" s="17">
        <v>950</v>
      </c>
      <c r="R58" s="17">
        <v>444.71821499999999</v>
      </c>
      <c r="S58" s="17">
        <f t="shared" si="2"/>
        <v>37.059851250000001</v>
      </c>
      <c r="T58" s="17">
        <f t="shared" si="3"/>
        <v>444.71821499999999</v>
      </c>
      <c r="U58" s="17">
        <f t="shared" si="4"/>
        <v>8123.8882149999999</v>
      </c>
      <c r="V58" s="57">
        <f t="shared" si="5"/>
        <v>931.39357000000007</v>
      </c>
      <c r="W58" s="78">
        <f t="shared" si="6"/>
        <v>333.53866125000002</v>
      </c>
      <c r="X58" s="75">
        <f t="shared" si="7"/>
        <v>-4291.8786612499998</v>
      </c>
    </row>
    <row r="59" spans="1:24" x14ac:dyDescent="0.25">
      <c r="A59" s="153">
        <v>50</v>
      </c>
      <c r="B59" s="22" t="s">
        <v>309</v>
      </c>
      <c r="C59" s="222" t="s">
        <v>626</v>
      </c>
      <c r="D59" s="7" t="s">
        <v>70</v>
      </c>
      <c r="E59" s="7">
        <v>1</v>
      </c>
      <c r="F59" s="15">
        <v>12160</v>
      </c>
      <c r="G59" s="17"/>
      <c r="H59" s="17"/>
      <c r="I59" s="17"/>
      <c r="J59" s="21"/>
      <c r="K59" s="15">
        <f t="shared" si="1"/>
        <v>12160</v>
      </c>
      <c r="L59" s="98">
        <v>12</v>
      </c>
      <c r="M59" s="161">
        <v>0.1605</v>
      </c>
      <c r="N59" s="18">
        <v>0.5</v>
      </c>
      <c r="O59" s="15">
        <v>6080</v>
      </c>
      <c r="P59" s="17">
        <f>+'[1]CEDAR 031= 1,92 '!O59+'[1]CEDAR 031= 1,92 '!P59</f>
        <v>18240</v>
      </c>
      <c r="Q59" s="17">
        <v>3648</v>
      </c>
      <c r="R59" s="17">
        <v>1951.68</v>
      </c>
      <c r="S59" s="17">
        <f t="shared" si="2"/>
        <v>162.64000000000001</v>
      </c>
      <c r="T59" s="17">
        <f t="shared" si="3"/>
        <v>1951.68</v>
      </c>
      <c r="U59" s="17">
        <f t="shared" si="4"/>
        <v>29919.68</v>
      </c>
      <c r="V59" s="57">
        <f t="shared" si="5"/>
        <v>4608.6399999999994</v>
      </c>
      <c r="W59" s="78">
        <f t="shared" si="6"/>
        <v>1463.7600000000002</v>
      </c>
      <c r="X59" s="75">
        <f t="shared" si="7"/>
        <v>-13623.76</v>
      </c>
    </row>
    <row r="60" spans="1:24" x14ac:dyDescent="0.25">
      <c r="A60" s="153">
        <v>51</v>
      </c>
      <c r="B60" s="22" t="s">
        <v>309</v>
      </c>
      <c r="C60" s="222" t="s">
        <v>627</v>
      </c>
      <c r="D60" s="7" t="s">
        <v>78</v>
      </c>
      <c r="E60" s="7">
        <v>1</v>
      </c>
      <c r="F60" s="15">
        <v>3941.67</v>
      </c>
      <c r="G60" s="17"/>
      <c r="H60" s="17"/>
      <c r="I60" s="17"/>
      <c r="J60" s="21"/>
      <c r="K60" s="15">
        <f t="shared" si="1"/>
        <v>3941.67</v>
      </c>
      <c r="L60" s="98">
        <v>12</v>
      </c>
      <c r="M60" s="161">
        <v>0.1605</v>
      </c>
      <c r="N60" s="18">
        <v>0.5</v>
      </c>
      <c r="O60" s="15">
        <v>358.33</v>
      </c>
      <c r="P60" s="17">
        <f>+'[1]CEDAR 031= 1,92 '!O60+'[1]CEDAR 031= 1,92 '!P60</f>
        <v>4300</v>
      </c>
      <c r="Q60" s="17">
        <v>860</v>
      </c>
      <c r="R60" s="17">
        <v>632.63803500000006</v>
      </c>
      <c r="S60" s="17">
        <f>+T60/12</f>
        <v>52.719836250000007</v>
      </c>
      <c r="T60" s="17">
        <f t="shared" si="3"/>
        <v>632.63803500000006</v>
      </c>
      <c r="U60" s="17">
        <f t="shared" si="4"/>
        <v>6150.9680349999999</v>
      </c>
      <c r="V60" s="57">
        <f t="shared" si="5"/>
        <v>1816.3939300000002</v>
      </c>
      <c r="W60" s="78">
        <f t="shared" si="6"/>
        <v>474.47852625000007</v>
      </c>
      <c r="X60" s="75">
        <f t="shared" si="7"/>
        <v>-1191.1385262499998</v>
      </c>
    </row>
    <row r="61" spans="1:24" x14ac:dyDescent="0.25">
      <c r="A61" s="153">
        <v>52</v>
      </c>
      <c r="B61" s="22" t="s">
        <v>309</v>
      </c>
      <c r="C61" s="222" t="s">
        <v>628</v>
      </c>
      <c r="D61" s="7" t="s">
        <v>83</v>
      </c>
      <c r="E61" s="7">
        <v>1</v>
      </c>
      <c r="F61" s="15">
        <v>4347.1999999999989</v>
      </c>
      <c r="G61" s="17"/>
      <c r="H61" s="17"/>
      <c r="I61" s="17"/>
      <c r="J61" s="21"/>
      <c r="K61" s="15">
        <f t="shared" si="1"/>
        <v>4347.1999999999989</v>
      </c>
      <c r="L61" s="98">
        <v>12</v>
      </c>
      <c r="M61" s="161">
        <v>0.1605</v>
      </c>
      <c r="N61" s="18">
        <v>0.5</v>
      </c>
      <c r="O61" s="15">
        <v>395.2</v>
      </c>
      <c r="P61" s="17">
        <f>+'[1]CEDAR 031= 1,92 '!O61+'[1]CEDAR 031= 1,92 '!P61</f>
        <v>4742.3999999999996</v>
      </c>
      <c r="Q61" s="17">
        <v>948.48</v>
      </c>
      <c r="R61" s="17">
        <v>697.72559999999987</v>
      </c>
      <c r="S61" s="17">
        <f t="shared" si="2"/>
        <v>58.143799999999992</v>
      </c>
      <c r="T61" s="17">
        <f t="shared" si="3"/>
        <v>697.72559999999987</v>
      </c>
      <c r="U61" s="17">
        <f t="shared" si="4"/>
        <v>6783.8055999999997</v>
      </c>
      <c r="V61" s="57">
        <f t="shared" si="5"/>
        <v>2003.2687999999994</v>
      </c>
      <c r="W61" s="78">
        <f t="shared" si="6"/>
        <v>523.29419999999993</v>
      </c>
      <c r="X61" s="75">
        <f t="shared" si="7"/>
        <v>-1313.6942000000004</v>
      </c>
    </row>
    <row r="62" spans="1:24" x14ac:dyDescent="0.25">
      <c r="A62" s="153">
        <v>53</v>
      </c>
      <c r="B62" s="22" t="s">
        <v>309</v>
      </c>
      <c r="C62" s="222" t="s">
        <v>629</v>
      </c>
      <c r="D62" s="7" t="s">
        <v>84</v>
      </c>
      <c r="E62" s="7">
        <v>1</v>
      </c>
      <c r="F62" s="15">
        <v>1882.04</v>
      </c>
      <c r="G62" s="17"/>
      <c r="H62" s="17"/>
      <c r="I62" s="17"/>
      <c r="J62" s="21"/>
      <c r="K62" s="15">
        <f t="shared" si="1"/>
        <v>1882.04</v>
      </c>
      <c r="L62" s="98">
        <v>12</v>
      </c>
      <c r="M62" s="161">
        <v>0.1605</v>
      </c>
      <c r="N62" s="18">
        <v>0.5</v>
      </c>
      <c r="O62" s="15">
        <v>171.09</v>
      </c>
      <c r="P62" s="17">
        <f>+'[1]CEDAR 031= 1,92 '!O62+'[1]CEDAR 031= 1,92 '!P62</f>
        <v>2053.12</v>
      </c>
      <c r="Q62" s="17">
        <v>410.625</v>
      </c>
      <c r="R62" s="17">
        <v>302.06742000000003</v>
      </c>
      <c r="S62" s="17">
        <f t="shared" si="2"/>
        <v>25.172285000000002</v>
      </c>
      <c r="T62" s="17">
        <f t="shared" si="3"/>
        <v>302.06742000000003</v>
      </c>
      <c r="U62" s="17">
        <f t="shared" si="4"/>
        <v>2936.9024199999999</v>
      </c>
      <c r="V62" s="57">
        <f t="shared" si="5"/>
        <v>867.2801599999998</v>
      </c>
      <c r="W62" s="78">
        <f t="shared" si="6"/>
        <v>226.55056500000001</v>
      </c>
      <c r="X62" s="75">
        <f t="shared" si="7"/>
        <v>-568.72056499999985</v>
      </c>
    </row>
    <row r="63" spans="1:24" x14ac:dyDescent="0.25">
      <c r="A63" s="153">
        <v>54</v>
      </c>
      <c r="B63" s="22" t="s">
        <v>309</v>
      </c>
      <c r="C63" s="222" t="s">
        <v>630</v>
      </c>
      <c r="D63" s="7" t="s">
        <v>85</v>
      </c>
      <c r="E63" s="7">
        <v>1</v>
      </c>
      <c r="F63" s="15">
        <v>2162.8199999999997</v>
      </c>
      <c r="G63" s="17"/>
      <c r="H63" s="17"/>
      <c r="I63" s="17"/>
      <c r="J63" s="21"/>
      <c r="K63" s="15">
        <f t="shared" si="1"/>
        <v>2162.8199999999997</v>
      </c>
      <c r="L63" s="98">
        <v>12</v>
      </c>
      <c r="M63" s="161">
        <v>0.1605</v>
      </c>
      <c r="N63" s="18">
        <v>0.5</v>
      </c>
      <c r="O63" s="15">
        <v>196.6</v>
      </c>
      <c r="P63" s="17">
        <f>+'[1]CEDAR 031= 1,92 '!O63+'[1]CEDAR 031= 1,92 '!P63</f>
        <v>2359.42</v>
      </c>
      <c r="Q63" s="17">
        <v>471.88400000000001</v>
      </c>
      <c r="R63" s="17">
        <v>347.13260999999994</v>
      </c>
      <c r="S63" s="17">
        <f t="shared" si="2"/>
        <v>28.927717499999996</v>
      </c>
      <c r="T63" s="17">
        <f t="shared" si="3"/>
        <v>347.13260999999994</v>
      </c>
      <c r="U63" s="17">
        <f t="shared" si="4"/>
        <v>3375.0366100000001</v>
      </c>
      <c r="V63" s="57">
        <f t="shared" si="5"/>
        <v>996.67077999999992</v>
      </c>
      <c r="W63" s="78">
        <f t="shared" si="6"/>
        <v>260.34945749999997</v>
      </c>
      <c r="X63" s="75">
        <f t="shared" si="7"/>
        <v>-653.54945750000024</v>
      </c>
    </row>
    <row r="64" spans="1:24" x14ac:dyDescent="0.25">
      <c r="A64" s="153">
        <v>55</v>
      </c>
      <c r="B64" s="22" t="s">
        <v>309</v>
      </c>
      <c r="C64" s="222" t="s">
        <v>631</v>
      </c>
      <c r="D64" s="7" t="s">
        <v>86</v>
      </c>
      <c r="E64" s="7">
        <v>1</v>
      </c>
      <c r="F64" s="15">
        <v>3162.5</v>
      </c>
      <c r="G64" s="17"/>
      <c r="H64" s="17"/>
      <c r="I64" s="17"/>
      <c r="J64" s="21"/>
      <c r="K64" s="15">
        <f t="shared" si="1"/>
        <v>3162.5</v>
      </c>
      <c r="L64" s="98">
        <v>12</v>
      </c>
      <c r="M64" s="161">
        <v>0.1605</v>
      </c>
      <c r="N64" s="18">
        <v>0.5</v>
      </c>
      <c r="O64" s="15">
        <v>287.5</v>
      </c>
      <c r="P64" s="17">
        <f>+'[1]CEDAR 031= 1,92 '!O64+'[1]CEDAR 031= 1,92 '!P64</f>
        <v>3450</v>
      </c>
      <c r="Q64" s="17">
        <v>690</v>
      </c>
      <c r="R64" s="17">
        <v>507.58125000000001</v>
      </c>
      <c r="S64" s="17">
        <f t="shared" si="2"/>
        <v>42.298437499999999</v>
      </c>
      <c r="T64" s="17">
        <f t="shared" si="3"/>
        <v>507.58125000000001</v>
      </c>
      <c r="U64" s="17">
        <f t="shared" si="4"/>
        <v>4935.0812500000002</v>
      </c>
      <c r="V64" s="57">
        <f t="shared" si="5"/>
        <v>1457.3375000000001</v>
      </c>
      <c r="W64" s="78">
        <f t="shared" si="6"/>
        <v>380.68593749999997</v>
      </c>
      <c r="X64" s="75">
        <f t="shared" si="7"/>
        <v>-955.68593749999991</v>
      </c>
    </row>
    <row r="65" spans="1:24" x14ac:dyDescent="0.25">
      <c r="A65" s="153">
        <v>56</v>
      </c>
      <c r="B65" s="22" t="s">
        <v>309</v>
      </c>
      <c r="C65" s="222" t="s">
        <v>632</v>
      </c>
      <c r="D65" s="7" t="s">
        <v>46</v>
      </c>
      <c r="E65" s="7">
        <v>2</v>
      </c>
      <c r="F65" s="15">
        <v>5950</v>
      </c>
      <c r="G65" s="17"/>
      <c r="H65" s="17"/>
      <c r="I65" s="17"/>
      <c r="J65" s="21"/>
      <c r="K65" s="15">
        <f t="shared" si="1"/>
        <v>5950</v>
      </c>
      <c r="L65" s="98">
        <v>12</v>
      </c>
      <c r="M65" s="161">
        <v>0.1605</v>
      </c>
      <c r="N65" s="18">
        <v>0.5</v>
      </c>
      <c r="O65" s="15">
        <v>0</v>
      </c>
      <c r="P65" s="17">
        <f>+'[1]CEDAR 031= 1,92 '!O65+'[1]CEDAR 031= 1,92 '!P65</f>
        <v>5950</v>
      </c>
      <c r="Q65" s="17">
        <v>1190</v>
      </c>
      <c r="R65" s="17">
        <v>954.97500000000002</v>
      </c>
      <c r="S65" s="17">
        <f t="shared" si="2"/>
        <v>79.581249999999997</v>
      </c>
      <c r="T65" s="17">
        <f t="shared" si="3"/>
        <v>954.97500000000002</v>
      </c>
      <c r="U65" s="17">
        <f t="shared" si="4"/>
        <v>8094.9750000000004</v>
      </c>
      <c r="V65" s="57">
        <f t="shared" si="5"/>
        <v>2850.05</v>
      </c>
      <c r="W65" s="78">
        <f t="shared" si="6"/>
        <v>716.23124999999993</v>
      </c>
      <c r="X65" s="75">
        <f t="shared" si="7"/>
        <v>-716.23124999999993</v>
      </c>
    </row>
    <row r="66" spans="1:24" x14ac:dyDescent="0.25">
      <c r="A66" s="153">
        <v>57</v>
      </c>
      <c r="B66" s="22" t="s">
        <v>309</v>
      </c>
      <c r="C66" s="222" t="s">
        <v>633</v>
      </c>
      <c r="D66" s="7" t="s">
        <v>87</v>
      </c>
      <c r="E66" s="7">
        <v>2</v>
      </c>
      <c r="F66" s="17">
        <v>4500</v>
      </c>
      <c r="G66" s="17"/>
      <c r="I66" s="17"/>
      <c r="J66" s="21"/>
      <c r="K66" s="15">
        <f t="shared" si="1"/>
        <v>4500</v>
      </c>
      <c r="L66" s="98">
        <v>9</v>
      </c>
      <c r="M66" s="161">
        <v>0.1605</v>
      </c>
      <c r="N66" s="18">
        <v>0.5</v>
      </c>
      <c r="O66" s="15">
        <v>0</v>
      </c>
      <c r="P66" s="17">
        <f>+'[1]CEDAR 031= 1,92 '!O66+'[1]CEDAR 031= 1,92 '!P66</f>
        <v>2700</v>
      </c>
      <c r="Q66" s="17">
        <v>720</v>
      </c>
      <c r="R66" s="17">
        <v>722.25</v>
      </c>
      <c r="S66" s="17">
        <f t="shared" si="2"/>
        <v>60.1875</v>
      </c>
      <c r="T66" s="17">
        <f t="shared" si="3"/>
        <v>722.25</v>
      </c>
      <c r="U66" s="17">
        <f t="shared" si="4"/>
        <v>4142.25</v>
      </c>
      <c r="V66" s="57">
        <f t="shared" si="5"/>
        <v>2335.5</v>
      </c>
      <c r="W66" s="78">
        <f t="shared" si="6"/>
        <v>541.6875</v>
      </c>
      <c r="X66" s="75">
        <f t="shared" si="7"/>
        <v>1258.3125</v>
      </c>
    </row>
    <row r="67" spans="1:24" x14ac:dyDescent="0.25">
      <c r="A67" s="153">
        <v>58</v>
      </c>
      <c r="B67" s="22" t="s">
        <v>309</v>
      </c>
      <c r="C67" s="222" t="s">
        <v>634</v>
      </c>
      <c r="D67" s="7" t="s">
        <v>88</v>
      </c>
      <c r="E67" s="7">
        <v>1</v>
      </c>
      <c r="F67" s="17">
        <v>3359.4000000000005</v>
      </c>
      <c r="G67" s="17"/>
      <c r="I67" s="17"/>
      <c r="J67" s="21"/>
      <c r="K67" s="15">
        <f t="shared" si="1"/>
        <v>3359.4000000000005</v>
      </c>
      <c r="L67" s="98">
        <v>8</v>
      </c>
      <c r="M67" s="161">
        <v>0.1605</v>
      </c>
      <c r="N67" s="18">
        <v>0.5</v>
      </c>
      <c r="O67" s="15">
        <v>0</v>
      </c>
      <c r="P67" s="17">
        <f>+'[1]CEDAR 031= 1,92 '!O67+'[1]CEDAR 031= 1,92 '!P67</f>
        <v>1679.7</v>
      </c>
      <c r="Q67" s="17">
        <v>503.91000000000008</v>
      </c>
      <c r="R67" s="17">
        <v>539.18370000000004</v>
      </c>
      <c r="S67" s="17">
        <f t="shared" si="2"/>
        <v>44.931975000000001</v>
      </c>
      <c r="T67" s="17">
        <f t="shared" si="3"/>
        <v>539.18370000000004</v>
      </c>
      <c r="U67" s="17">
        <f t="shared" si="4"/>
        <v>2722.7937000000002</v>
      </c>
      <c r="V67" s="57">
        <f t="shared" si="5"/>
        <v>1777.1226000000006</v>
      </c>
      <c r="W67" s="78">
        <f t="shared" si="6"/>
        <v>404.38777500000003</v>
      </c>
      <c r="X67" s="75">
        <f t="shared" si="7"/>
        <v>1275.3122250000006</v>
      </c>
    </row>
    <row r="68" spans="1:24" x14ac:dyDescent="0.25">
      <c r="A68" s="153">
        <v>59</v>
      </c>
      <c r="B68" s="22" t="s">
        <v>309</v>
      </c>
      <c r="C68" s="222" t="s">
        <v>635</v>
      </c>
      <c r="D68" s="7" t="s">
        <v>89</v>
      </c>
      <c r="E68" s="7">
        <v>1</v>
      </c>
      <c r="F68" s="17">
        <v>106250</v>
      </c>
      <c r="G68" s="17"/>
      <c r="I68" s="17"/>
      <c r="J68" s="21"/>
      <c r="K68" s="15">
        <f t="shared" si="1"/>
        <v>106250</v>
      </c>
      <c r="L68" s="98">
        <v>7</v>
      </c>
      <c r="M68" s="161">
        <v>0.1605</v>
      </c>
      <c r="N68" s="18">
        <v>0.5</v>
      </c>
      <c r="O68" s="15">
        <v>0</v>
      </c>
      <c r="P68" s="17">
        <f>+'[1]CEDAR 031= 1,92 '!O68+'[1]CEDAR 031= 1,92 '!P68</f>
        <v>43750</v>
      </c>
      <c r="Q68" s="17">
        <v>15000</v>
      </c>
      <c r="R68" s="17">
        <v>17053.125</v>
      </c>
      <c r="S68" s="17">
        <f t="shared" si="2"/>
        <v>1421.09375</v>
      </c>
      <c r="T68" s="17">
        <f t="shared" si="3"/>
        <v>17053.125</v>
      </c>
      <c r="U68" s="17">
        <f t="shared" si="4"/>
        <v>75803.125</v>
      </c>
      <c r="V68" s="57">
        <f t="shared" si="5"/>
        <v>57143.75</v>
      </c>
      <c r="W68" s="78">
        <f t="shared" si="6"/>
        <v>12789.84375</v>
      </c>
      <c r="X68" s="75">
        <f t="shared" si="7"/>
        <v>49710.15625</v>
      </c>
    </row>
    <row r="69" spans="1:24" x14ac:dyDescent="0.25">
      <c r="A69" s="153">
        <v>60</v>
      </c>
      <c r="B69" s="22" t="s">
        <v>309</v>
      </c>
      <c r="C69" s="222" t="s">
        <v>636</v>
      </c>
      <c r="D69" s="7" t="s">
        <v>90</v>
      </c>
      <c r="E69" s="7">
        <v>1</v>
      </c>
      <c r="F69" s="17">
        <v>17586.84</v>
      </c>
      <c r="G69" s="17"/>
      <c r="I69" s="17"/>
      <c r="J69" s="21"/>
      <c r="K69" s="15">
        <f t="shared" si="1"/>
        <v>17586.84</v>
      </c>
      <c r="L69" s="98">
        <v>4</v>
      </c>
      <c r="M69" s="161">
        <v>0.1605</v>
      </c>
      <c r="N69" s="18">
        <v>0.5</v>
      </c>
      <c r="O69" s="15">
        <v>0</v>
      </c>
      <c r="P69" s="17">
        <f>+'[1]CEDAR 031= 1,92 '!O69+'[1]CEDAR 031= 1,92 '!P69</f>
        <v>3517.38</v>
      </c>
      <c r="Q69" s="17">
        <v>2110.422</v>
      </c>
      <c r="R69" s="17">
        <v>2822.6878200000001</v>
      </c>
      <c r="S69" s="17">
        <f t="shared" si="2"/>
        <v>235.223985</v>
      </c>
      <c r="T69" s="17">
        <f t="shared" si="3"/>
        <v>2822.6878200000001</v>
      </c>
      <c r="U69" s="17">
        <f t="shared" si="4"/>
        <v>8450.4898199999989</v>
      </c>
      <c r="V69" s="57">
        <f t="shared" si="5"/>
        <v>9831.0423599999995</v>
      </c>
      <c r="W69" s="78">
        <f t="shared" si="6"/>
        <v>2117.0158649999998</v>
      </c>
      <c r="X69" s="75">
        <f t="shared" si="7"/>
        <v>11952.444135</v>
      </c>
    </row>
    <row r="70" spans="1:24" x14ac:dyDescent="0.25">
      <c r="A70" s="153" t="s">
        <v>91</v>
      </c>
      <c r="B70" s="22" t="s">
        <v>309</v>
      </c>
      <c r="C70" s="222" t="s">
        <v>637</v>
      </c>
      <c r="D70" s="7" t="s">
        <v>90</v>
      </c>
      <c r="E70" s="7"/>
      <c r="F70" s="17">
        <v>461794.51</v>
      </c>
      <c r="G70" s="17"/>
      <c r="I70" s="17"/>
      <c r="J70" s="21"/>
      <c r="K70" s="15">
        <f t="shared" si="1"/>
        <v>461794.51</v>
      </c>
      <c r="L70" s="98">
        <v>4</v>
      </c>
      <c r="M70" s="161">
        <v>0.1605</v>
      </c>
      <c r="N70" s="18">
        <v>0.5</v>
      </c>
      <c r="O70" s="15">
        <v>0</v>
      </c>
      <c r="P70" s="17">
        <f>+'[1]CEDAR 031= 1,92 '!O70+'[1]CEDAR 031= 1,92 '!P70</f>
        <v>92358.9</v>
      </c>
      <c r="Q70" s="17">
        <v>55415.341000000008</v>
      </c>
      <c r="R70" s="17">
        <v>74118.018855000002</v>
      </c>
      <c r="S70" s="17">
        <f t="shared" si="2"/>
        <v>6176.5015712499999</v>
      </c>
      <c r="T70" s="17">
        <f t="shared" si="3"/>
        <v>74118.018855000002</v>
      </c>
      <c r="U70" s="17">
        <f t="shared" si="4"/>
        <v>221892.25985500001</v>
      </c>
      <c r="V70" s="57">
        <f t="shared" si="5"/>
        <v>258143.13128999996</v>
      </c>
      <c r="W70" s="78">
        <f t="shared" si="6"/>
        <v>55588.514141250002</v>
      </c>
      <c r="X70" s="75">
        <f t="shared" si="7"/>
        <v>313847.09585874999</v>
      </c>
    </row>
    <row r="71" spans="1:24" x14ac:dyDescent="0.25">
      <c r="A71" s="227">
        <v>61</v>
      </c>
      <c r="B71" s="167" t="s">
        <v>309</v>
      </c>
      <c r="C71" s="223" t="s">
        <v>638</v>
      </c>
      <c r="D71" s="149" t="s">
        <v>267</v>
      </c>
      <c r="E71" s="149"/>
      <c r="F71" s="26">
        <v>4377.74</v>
      </c>
      <c r="G71" s="250"/>
      <c r="H71" s="26"/>
      <c r="I71" s="26"/>
      <c r="J71" s="27"/>
      <c r="K71" s="104">
        <f>+F71+H71</f>
        <v>4377.74</v>
      </c>
      <c r="L71" s="250">
        <v>11</v>
      </c>
      <c r="M71" s="251">
        <v>0.1605</v>
      </c>
      <c r="N71" s="150">
        <v>0</v>
      </c>
      <c r="O71" s="26">
        <v>0</v>
      </c>
      <c r="P71" s="104">
        <v>0</v>
      </c>
      <c r="Q71" s="26">
        <v>401.29283333333331</v>
      </c>
      <c r="R71" s="26">
        <v>702.62726999999995</v>
      </c>
      <c r="S71" s="26">
        <f>+K71*M71/12</f>
        <v>58.552272499999994</v>
      </c>
      <c r="T71" s="26">
        <f t="shared" si="3"/>
        <v>702.62726999999995</v>
      </c>
      <c r="U71" s="26">
        <f t="shared" si="4"/>
        <v>1103.9201033333334</v>
      </c>
      <c r="V71" s="57">
        <f t="shared" si="5"/>
        <v>2571.1926266666665</v>
      </c>
      <c r="W71" s="102">
        <f>+S71*9</f>
        <v>526.97045249999996</v>
      </c>
      <c r="X71" s="103">
        <f t="shared" si="7"/>
        <v>3850.7695475</v>
      </c>
    </row>
    <row r="72" spans="1:24" x14ac:dyDescent="0.25">
      <c r="A72" s="227">
        <v>62</v>
      </c>
      <c r="B72" s="167" t="s">
        <v>309</v>
      </c>
      <c r="C72" s="223" t="s">
        <v>639</v>
      </c>
      <c r="D72" s="149" t="s">
        <v>268</v>
      </c>
      <c r="E72" s="149"/>
      <c r="F72" s="26">
        <v>63537.5</v>
      </c>
      <c r="G72" s="250"/>
      <c r="H72" s="26"/>
      <c r="I72" s="26"/>
      <c r="J72" s="27"/>
      <c r="K72" s="104">
        <f t="shared" si="1"/>
        <v>63537.5</v>
      </c>
      <c r="L72" s="250">
        <v>8</v>
      </c>
      <c r="M72" s="251">
        <v>0.1605</v>
      </c>
      <c r="N72" s="150">
        <v>0</v>
      </c>
      <c r="O72" s="26">
        <v>0</v>
      </c>
      <c r="P72" s="104">
        <v>0</v>
      </c>
      <c r="Q72" s="26">
        <v>4235.833333333333</v>
      </c>
      <c r="R72" s="26">
        <v>10197.768750000001</v>
      </c>
      <c r="S72" s="26">
        <f>+K72*M72/12</f>
        <v>849.81406250000009</v>
      </c>
      <c r="T72" s="26">
        <f t="shared" si="3"/>
        <v>10197.768750000001</v>
      </c>
      <c r="U72" s="26">
        <f t="shared" si="4"/>
        <v>14433.602083333335</v>
      </c>
      <c r="V72" s="57">
        <f t="shared" si="5"/>
        <v>38906.129166666658</v>
      </c>
      <c r="W72" s="102">
        <f t="shared" ref="W72:W74" si="8">+S72*9</f>
        <v>7648.3265625000004</v>
      </c>
      <c r="X72" s="103">
        <f t="shared" si="7"/>
        <v>55889.173437500001</v>
      </c>
    </row>
    <row r="73" spans="1:24" x14ac:dyDescent="0.25">
      <c r="A73" s="227">
        <v>63</v>
      </c>
      <c r="B73" s="167" t="s">
        <v>309</v>
      </c>
      <c r="C73" s="223" t="s">
        <v>640</v>
      </c>
      <c r="D73" s="149" t="s">
        <v>84</v>
      </c>
      <c r="E73" s="149"/>
      <c r="F73" s="26">
        <v>3999.2</v>
      </c>
      <c r="G73" s="250"/>
      <c r="H73" s="26"/>
      <c r="I73" s="26"/>
      <c r="J73" s="27"/>
      <c r="K73" s="104">
        <f t="shared" si="1"/>
        <v>3999.2</v>
      </c>
      <c r="L73" s="250">
        <v>6</v>
      </c>
      <c r="M73" s="251">
        <v>0.1605</v>
      </c>
      <c r="N73" s="150">
        <v>0</v>
      </c>
      <c r="O73" s="26">
        <v>0</v>
      </c>
      <c r="P73" s="104">
        <v>0</v>
      </c>
      <c r="Q73" s="26">
        <v>199.96</v>
      </c>
      <c r="R73" s="26">
        <v>641.87159999999994</v>
      </c>
      <c r="S73" s="26">
        <f>+K73*M73/12</f>
        <v>53.489299999999993</v>
      </c>
      <c r="T73" s="26">
        <f t="shared" si="3"/>
        <v>641.87159999999994</v>
      </c>
      <c r="U73" s="26">
        <f t="shared" si="4"/>
        <v>841.83159999999998</v>
      </c>
      <c r="V73" s="57">
        <f t="shared" si="5"/>
        <v>2515.4967999999999</v>
      </c>
      <c r="W73" s="102">
        <f t="shared" si="8"/>
        <v>481.40369999999996</v>
      </c>
      <c r="X73" s="103">
        <f t="shared" si="7"/>
        <v>3517.7963</v>
      </c>
    </row>
    <row r="74" spans="1:24" x14ac:dyDescent="0.25">
      <c r="A74" s="227">
        <v>64</v>
      </c>
      <c r="B74" s="167" t="s">
        <v>309</v>
      </c>
      <c r="C74" s="223" t="s">
        <v>641</v>
      </c>
      <c r="D74" s="149" t="s">
        <v>269</v>
      </c>
      <c r="E74" s="149"/>
      <c r="F74" s="26">
        <v>3355.36</v>
      </c>
      <c r="G74" s="250"/>
      <c r="H74" s="26"/>
      <c r="I74" s="26"/>
      <c r="J74" s="27"/>
      <c r="K74" s="104">
        <f t="shared" si="1"/>
        <v>3355.36</v>
      </c>
      <c r="L74" s="250">
        <v>3</v>
      </c>
      <c r="M74" s="251">
        <v>0.1605</v>
      </c>
      <c r="N74" s="150">
        <v>0</v>
      </c>
      <c r="O74" s="26">
        <v>0</v>
      </c>
      <c r="P74" s="104">
        <v>0</v>
      </c>
      <c r="Q74" s="26">
        <v>83.884000000000015</v>
      </c>
      <c r="R74" s="26">
        <v>538.53528000000006</v>
      </c>
      <c r="S74" s="26">
        <f>+K74*M74/12</f>
        <v>44.877940000000002</v>
      </c>
      <c r="T74" s="26">
        <f t="shared" si="3"/>
        <v>538.53528000000006</v>
      </c>
      <c r="U74" s="26">
        <f t="shared" si="4"/>
        <v>622.41928000000007</v>
      </c>
      <c r="V74" s="57">
        <f t="shared" si="5"/>
        <v>2194.40544</v>
      </c>
      <c r="W74" s="102">
        <f t="shared" si="8"/>
        <v>403.90146000000004</v>
      </c>
      <c r="X74" s="103">
        <f t="shared" si="7"/>
        <v>2951.4585400000001</v>
      </c>
    </row>
    <row r="75" spans="1:24" x14ac:dyDescent="0.25">
      <c r="A75" s="227">
        <v>65</v>
      </c>
      <c r="B75" s="167" t="s">
        <v>309</v>
      </c>
      <c r="C75" s="223" t="s">
        <v>642</v>
      </c>
      <c r="D75" s="149" t="s">
        <v>308</v>
      </c>
      <c r="E75" s="149"/>
      <c r="F75" s="26">
        <v>11645</v>
      </c>
      <c r="G75" s="250"/>
      <c r="H75" s="104"/>
      <c r="I75" s="26"/>
      <c r="J75" s="27"/>
      <c r="K75" s="104">
        <f t="shared" si="1"/>
        <v>11645</v>
      </c>
      <c r="L75" s="250">
        <v>2</v>
      </c>
      <c r="M75" s="251">
        <v>0.1605</v>
      </c>
      <c r="N75" s="150"/>
      <c r="O75" s="104"/>
      <c r="P75" s="26"/>
      <c r="Q75" s="26">
        <v>194.08333333333334</v>
      </c>
      <c r="R75" s="26">
        <v>1869.0225</v>
      </c>
      <c r="S75" s="26">
        <f>+K75*M75/12</f>
        <v>155.75187500000001</v>
      </c>
      <c r="T75" s="26">
        <f t="shared" si="3"/>
        <v>1869.0225</v>
      </c>
      <c r="U75" s="26">
        <f t="shared" si="4"/>
        <v>2063.1058333333335</v>
      </c>
      <c r="V75" s="57">
        <f t="shared" si="5"/>
        <v>7712.8716666666651</v>
      </c>
      <c r="W75" s="102">
        <f>+S75*9</f>
        <v>1401.766875</v>
      </c>
      <c r="X75" s="103">
        <f t="shared" ref="X75:X76" si="9">+K75-O75-P75-W75</f>
        <v>10243.233125000001</v>
      </c>
    </row>
    <row r="76" spans="1:24" ht="15.75" thickBot="1" x14ac:dyDescent="0.3">
      <c r="A76" s="56"/>
      <c r="B76" s="22"/>
      <c r="C76" s="22"/>
      <c r="D76" s="7"/>
      <c r="E76" s="7"/>
      <c r="F76" s="15">
        <v>0</v>
      </c>
      <c r="G76" s="17"/>
      <c r="H76" s="17"/>
      <c r="I76" s="17"/>
      <c r="J76" s="21"/>
      <c r="K76" s="15"/>
      <c r="L76" s="98"/>
      <c r="M76" s="21"/>
      <c r="N76" s="17"/>
      <c r="O76" s="15"/>
      <c r="P76" s="17"/>
      <c r="Q76" s="17"/>
      <c r="R76" s="17"/>
      <c r="S76" s="17"/>
      <c r="T76" s="21"/>
      <c r="U76" s="21"/>
      <c r="V76" s="57"/>
      <c r="W76" s="78">
        <f t="shared" si="6"/>
        <v>0</v>
      </c>
      <c r="X76" s="75">
        <f t="shared" si="9"/>
        <v>0</v>
      </c>
    </row>
    <row r="77" spans="1:24" ht="16.5" thickTop="1" thickBot="1" x14ac:dyDescent="0.3">
      <c r="A77" s="298" t="s">
        <v>12</v>
      </c>
      <c r="B77" s="298"/>
      <c r="C77" s="298"/>
      <c r="D77" s="298"/>
      <c r="E77" s="298"/>
      <c r="F77" s="117">
        <f>SUM(F10:F76)</f>
        <v>769697.0199999999</v>
      </c>
      <c r="G77" s="117">
        <v>0</v>
      </c>
      <c r="H77" s="117">
        <f>SUM(H10:H76)</f>
        <v>0</v>
      </c>
      <c r="I77" s="117">
        <f t="shared" ref="I77:J77" si="10">SUM(I10:I76)</f>
        <v>0</v>
      </c>
      <c r="J77" s="117">
        <f t="shared" si="10"/>
        <v>0</v>
      </c>
      <c r="K77" s="124">
        <f>SUM(K10:K76)</f>
        <v>769697.0199999999</v>
      </c>
      <c r="L77" s="118">
        <v>0</v>
      </c>
      <c r="M77" s="118">
        <v>0</v>
      </c>
      <c r="N77" s="118">
        <v>0</v>
      </c>
      <c r="O77" s="117">
        <f t="shared" ref="O77:V77" si="11">SUM(O10:O76)</f>
        <v>889692.29</v>
      </c>
      <c r="P77" s="117">
        <f t="shared" si="11"/>
        <v>378260.82000000007</v>
      </c>
      <c r="Q77" s="117">
        <f t="shared" si="11"/>
        <v>109614.50250000002</v>
      </c>
      <c r="R77" s="117">
        <f>SUM(R10:R76)</f>
        <v>123536.37171000001</v>
      </c>
      <c r="S77" s="117">
        <f t="shared" si="11"/>
        <v>10285.446021249998</v>
      </c>
      <c r="T77" s="124">
        <f t="shared" si="11"/>
        <v>123425.35225500001</v>
      </c>
      <c r="U77" s="124">
        <f t="shared" si="11"/>
        <v>1500992.9647550001</v>
      </c>
      <c r="V77" s="124">
        <f t="shared" si="11"/>
        <v>413120.793535</v>
      </c>
      <c r="W77" s="117">
        <f t="shared" ref="W77:X77" si="12">SUM(W10:W76)</f>
        <v>92569.014191249997</v>
      </c>
      <c r="X77" s="117">
        <f t="shared" si="12"/>
        <v>-590825.10419124982</v>
      </c>
    </row>
    <row r="78" spans="1:24" ht="16.5" thickTop="1" thickBot="1" x14ac:dyDescent="0.3">
      <c r="A78" s="296" t="s">
        <v>343</v>
      </c>
      <c r="B78" s="297"/>
      <c r="C78" s="297"/>
      <c r="D78" s="297"/>
      <c r="E78" s="297"/>
      <c r="F78" s="121">
        <f>+F77</f>
        <v>769697.0199999999</v>
      </c>
      <c r="G78" s="121">
        <f t="shared" ref="G78:Q78" si="13">+G77</f>
        <v>0</v>
      </c>
      <c r="H78" s="121">
        <f t="shared" si="13"/>
        <v>0</v>
      </c>
      <c r="I78" s="121">
        <f t="shared" si="13"/>
        <v>0</v>
      </c>
      <c r="J78" s="121">
        <f t="shared" si="13"/>
        <v>0</v>
      </c>
      <c r="K78" s="121">
        <f t="shared" si="13"/>
        <v>769697.0199999999</v>
      </c>
      <c r="L78" s="121">
        <f t="shared" si="13"/>
        <v>0</v>
      </c>
      <c r="M78" s="121">
        <f t="shared" si="13"/>
        <v>0</v>
      </c>
      <c r="N78" s="121">
        <f t="shared" si="13"/>
        <v>0</v>
      </c>
      <c r="O78" s="121">
        <f t="shared" si="13"/>
        <v>889692.29</v>
      </c>
      <c r="P78" s="121">
        <f t="shared" si="13"/>
        <v>378260.82000000007</v>
      </c>
      <c r="Q78" s="121">
        <f t="shared" si="13"/>
        <v>109614.50250000002</v>
      </c>
      <c r="R78" s="121"/>
      <c r="S78" s="121"/>
      <c r="T78" s="121"/>
      <c r="U78" s="121">
        <f>+U77</f>
        <v>1500992.9647550001</v>
      </c>
      <c r="V78" s="120">
        <f>+V77</f>
        <v>413120.793535</v>
      </c>
    </row>
    <row r="79" spans="1:24" ht="16.5" thickTop="1" thickBot="1" x14ac:dyDescent="0.3">
      <c r="A79" s="293" t="s">
        <v>291</v>
      </c>
      <c r="B79" s="294"/>
      <c r="C79" s="294"/>
      <c r="D79" s="294"/>
      <c r="E79" s="295"/>
      <c r="F79" s="116">
        <f>+F77-F78</f>
        <v>0</v>
      </c>
      <c r="G79" s="122"/>
      <c r="H79" s="123">
        <f>+H77-H78</f>
        <v>0</v>
      </c>
      <c r="I79" s="122"/>
      <c r="J79" s="122"/>
      <c r="K79" s="116">
        <f>+K77-K78</f>
        <v>0</v>
      </c>
      <c r="L79" s="288"/>
      <c r="M79" s="289"/>
      <c r="N79" s="290"/>
      <c r="O79" s="116">
        <f>+O77-O78</f>
        <v>0</v>
      </c>
      <c r="P79" s="116">
        <f>+P77-P78</f>
        <v>0</v>
      </c>
      <c r="Q79" s="116">
        <f>+Q77-Q78</f>
        <v>0</v>
      </c>
      <c r="R79" s="116"/>
      <c r="S79" s="122"/>
      <c r="T79" s="122"/>
      <c r="U79" s="116">
        <f>+U77-U78</f>
        <v>0</v>
      </c>
      <c r="V79" s="116">
        <f>+V77-V78</f>
        <v>0</v>
      </c>
      <c r="X79" s="15"/>
    </row>
    <row r="80" spans="1:24" ht="15.75" hidden="1" thickTop="1" x14ac:dyDescent="0.25">
      <c r="F80" s="15"/>
      <c r="P80" s="15"/>
      <c r="Q80" s="15"/>
      <c r="R80" s="15"/>
      <c r="V80" s="15"/>
      <c r="X80" s="15"/>
    </row>
    <row r="81" spans="6:22" hidden="1" x14ac:dyDescent="0.25">
      <c r="F81" s="15"/>
      <c r="P81" s="15"/>
      <c r="Q81" s="15"/>
      <c r="R81" s="15"/>
      <c r="S81" s="15"/>
      <c r="U81" s="15"/>
      <c r="V81" s="15"/>
    </row>
    <row r="82" spans="6:22" hidden="1" x14ac:dyDescent="0.25">
      <c r="F82" s="15"/>
      <c r="K82" s="15"/>
      <c r="O82" s="15"/>
      <c r="P82" s="15"/>
      <c r="Q82" s="15"/>
      <c r="R82" s="15"/>
    </row>
    <row r="83" spans="6:22" hidden="1" x14ac:dyDescent="0.25">
      <c r="F83" s="15"/>
      <c r="K83" s="15">
        <f>+'CEDAR 030 '!U62+'CEDAR 030,111'!T77</f>
        <v>6785367.760683001</v>
      </c>
      <c r="P83" s="15"/>
      <c r="Q83" s="15"/>
      <c r="R83" s="15"/>
    </row>
    <row r="84" spans="6:22" hidden="1" x14ac:dyDescent="0.25">
      <c r="K84" s="15"/>
      <c r="P84" s="15"/>
      <c r="Q84" s="15"/>
      <c r="R84" s="15"/>
    </row>
    <row r="85" spans="6:22" hidden="1" x14ac:dyDescent="0.25">
      <c r="K85" s="15"/>
      <c r="O85" s="15"/>
      <c r="P85" s="15"/>
      <c r="Q85" s="15"/>
      <c r="R85" s="15"/>
    </row>
    <row r="86" spans="6:22" hidden="1" x14ac:dyDescent="0.25">
      <c r="O86" s="15"/>
      <c r="P86" s="15"/>
      <c r="Q86" s="15"/>
      <c r="R86" s="15"/>
    </row>
    <row r="87" spans="6:22" ht="15.75" thickTop="1" x14ac:dyDescent="0.25">
      <c r="O87" s="148"/>
      <c r="P87" s="148"/>
      <c r="Q87" s="148"/>
      <c r="R87" s="148"/>
    </row>
    <row r="88" spans="6:22" x14ac:dyDescent="0.25">
      <c r="R88" s="15"/>
    </row>
  </sheetData>
  <mergeCells count="29">
    <mergeCell ref="A78:E78"/>
    <mergeCell ref="A79:E79"/>
    <mergeCell ref="L79:N79"/>
    <mergeCell ref="W6:W8"/>
    <mergeCell ref="X6:X8"/>
    <mergeCell ref="V6:V8"/>
    <mergeCell ref="O6:U6"/>
    <mergeCell ref="O7:O8"/>
    <mergeCell ref="U7:U8"/>
    <mergeCell ref="P7:P8"/>
    <mergeCell ref="S7:S8"/>
    <mergeCell ref="T7:T8"/>
    <mergeCell ref="A77:E77"/>
    <mergeCell ref="C6:C8"/>
    <mergeCell ref="A3:V3"/>
    <mergeCell ref="A4:V4"/>
    <mergeCell ref="A6:A8"/>
    <mergeCell ref="B6:B8"/>
    <mergeCell ref="D6:D8"/>
    <mergeCell ref="E6:E8"/>
    <mergeCell ref="F6:F8"/>
    <mergeCell ref="G6:H7"/>
    <mergeCell ref="I6:I8"/>
    <mergeCell ref="J6:J8"/>
    <mergeCell ref="K6:K8"/>
    <mergeCell ref="L6:L8"/>
    <mergeCell ref="M6:N7"/>
    <mergeCell ref="Q7:Q8"/>
    <mergeCell ref="R7:R8"/>
  </mergeCells>
  <pageMargins left="0.25" right="0.25" top="0.75" bottom="0.75" header="0.3" footer="0.3"/>
  <pageSetup paperSize="9" scale="59" fitToHeight="0" orientation="landscape" r:id="rId1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rgb="FF00B0F0"/>
    <pageSetUpPr fitToPage="1"/>
  </sheetPr>
  <dimension ref="A1:Z35"/>
  <sheetViews>
    <sheetView topLeftCell="A5" zoomScaleNormal="100" workbookViewId="0">
      <selection activeCell="R35" sqref="R35"/>
    </sheetView>
  </sheetViews>
  <sheetFormatPr defaultColWidth="9.140625" defaultRowHeight="15" x14ac:dyDescent="0.25"/>
  <cols>
    <col min="1" max="1" width="5.7109375" style="2" customWidth="1"/>
    <col min="2" max="3" width="7.28515625" style="2" customWidth="1"/>
    <col min="4" max="4" width="23.7109375" style="2" customWidth="1"/>
    <col min="5" max="5" width="8.28515625" style="2" customWidth="1"/>
    <col min="6" max="6" width="18.28515625" style="2" bestFit="1" customWidth="1"/>
    <col min="7" max="7" width="8.42578125" style="2" customWidth="1"/>
    <col min="8" max="8" width="10" style="2" customWidth="1"/>
    <col min="9" max="9" width="7.42578125" style="2" customWidth="1"/>
    <col min="10" max="10" width="11.140625" style="2" customWidth="1"/>
    <col min="11" max="11" width="14.42578125" style="2" customWidth="1"/>
    <col min="12" max="12" width="13.5703125" style="2" customWidth="1"/>
    <col min="13" max="13" width="8.42578125" style="2" customWidth="1"/>
    <col min="14" max="14" width="8.140625" style="2" customWidth="1"/>
    <col min="15" max="15" width="12.42578125" style="2" customWidth="1"/>
    <col min="16" max="19" width="11.28515625" style="2" customWidth="1"/>
    <col min="20" max="20" width="12.5703125" style="2" customWidth="1"/>
    <col min="21" max="21" width="15.140625" style="2" customWidth="1"/>
    <col min="22" max="22" width="16.140625" style="2" customWidth="1"/>
    <col min="23" max="23" width="17.140625" style="2" hidden="1" customWidth="1"/>
    <col min="24" max="24" width="14.85546875" style="2" hidden="1" customWidth="1"/>
    <col min="25" max="25" width="13.5703125" style="2" bestFit="1" customWidth="1"/>
    <col min="26" max="26" width="10.85546875" style="2" bestFit="1" customWidth="1"/>
    <col min="27" max="16384" width="9.140625" style="2"/>
  </cols>
  <sheetData>
    <row r="1" spans="1:24" x14ac:dyDescent="0.25">
      <c r="A1" s="113" t="s">
        <v>359</v>
      </c>
    </row>
    <row r="3" spans="1:24" x14ac:dyDescent="0.25">
      <c r="A3" s="299" t="s">
        <v>864</v>
      </c>
      <c r="B3" s="299"/>
      <c r="C3" s="299"/>
      <c r="D3" s="299"/>
      <c r="E3" s="299"/>
      <c r="F3" s="299"/>
      <c r="G3" s="299"/>
      <c r="H3" s="299"/>
      <c r="I3" s="299"/>
      <c r="J3" s="299"/>
      <c r="K3" s="299"/>
      <c r="L3" s="299"/>
      <c r="M3" s="299"/>
      <c r="N3" s="299"/>
      <c r="O3" s="299"/>
      <c r="P3" s="299"/>
      <c r="Q3" s="299"/>
      <c r="R3" s="299"/>
      <c r="S3" s="299"/>
      <c r="T3" s="299"/>
      <c r="U3" s="299"/>
      <c r="V3" s="299"/>
    </row>
    <row r="4" spans="1:24" x14ac:dyDescent="0.25">
      <c r="A4" s="300" t="s">
        <v>393</v>
      </c>
      <c r="B4" s="300"/>
      <c r="C4" s="300"/>
      <c r="D4" s="300"/>
      <c r="E4" s="300"/>
      <c r="F4" s="300"/>
      <c r="G4" s="300"/>
      <c r="H4" s="300"/>
      <c r="I4" s="300"/>
      <c r="J4" s="300"/>
      <c r="K4" s="300"/>
      <c r="L4" s="300"/>
      <c r="M4" s="300"/>
      <c r="N4" s="300"/>
      <c r="O4" s="300"/>
      <c r="P4" s="300"/>
      <c r="Q4" s="300"/>
      <c r="R4" s="300"/>
      <c r="S4" s="300"/>
      <c r="T4" s="300"/>
      <c r="U4" s="300"/>
      <c r="V4" s="300"/>
    </row>
    <row r="5" spans="1:24" ht="15.75" thickBot="1" x14ac:dyDescent="0.3">
      <c r="A5" s="71"/>
    </row>
    <row r="6" spans="1:24" ht="16.5" customHeight="1" thickTop="1" thickBot="1" x14ac:dyDescent="0.3">
      <c r="A6" s="283" t="s">
        <v>0</v>
      </c>
      <c r="B6" s="283" t="s">
        <v>332</v>
      </c>
      <c r="C6" s="283" t="s">
        <v>524</v>
      </c>
      <c r="D6" s="283" t="s">
        <v>1</v>
      </c>
      <c r="E6" s="283" t="s">
        <v>7</v>
      </c>
      <c r="F6" s="283" t="s">
        <v>414</v>
      </c>
      <c r="G6" s="284" t="s">
        <v>523</v>
      </c>
      <c r="H6" s="284"/>
      <c r="I6" s="283" t="s">
        <v>18</v>
      </c>
      <c r="J6" s="283" t="s">
        <v>19</v>
      </c>
      <c r="K6" s="284" t="s">
        <v>408</v>
      </c>
      <c r="L6" s="283" t="s">
        <v>4</v>
      </c>
      <c r="M6" s="283" t="s">
        <v>5</v>
      </c>
      <c r="N6" s="283"/>
      <c r="O6" s="283" t="s">
        <v>8</v>
      </c>
      <c r="P6" s="283"/>
      <c r="Q6" s="283"/>
      <c r="R6" s="283"/>
      <c r="S6" s="283"/>
      <c r="T6" s="283"/>
      <c r="U6" s="283"/>
      <c r="V6" s="285" t="s">
        <v>868</v>
      </c>
      <c r="W6" s="285" t="s">
        <v>260</v>
      </c>
      <c r="X6" s="285" t="s">
        <v>261</v>
      </c>
    </row>
    <row r="7" spans="1:24" ht="25.5" customHeight="1" thickTop="1" thickBot="1" x14ac:dyDescent="0.3">
      <c r="A7" s="283"/>
      <c r="B7" s="283"/>
      <c r="C7" s="283"/>
      <c r="D7" s="283"/>
      <c r="E7" s="283"/>
      <c r="F7" s="283"/>
      <c r="G7" s="284"/>
      <c r="H7" s="284"/>
      <c r="I7" s="283"/>
      <c r="J7" s="283"/>
      <c r="K7" s="284"/>
      <c r="L7" s="283"/>
      <c r="M7" s="283"/>
      <c r="N7" s="283"/>
      <c r="O7" s="283" t="s">
        <v>6</v>
      </c>
      <c r="P7" s="291" t="s">
        <v>254</v>
      </c>
      <c r="Q7" s="291" t="s">
        <v>410</v>
      </c>
      <c r="R7" s="291" t="s">
        <v>865</v>
      </c>
      <c r="S7" s="285" t="s">
        <v>866</v>
      </c>
      <c r="T7" s="285" t="s">
        <v>867</v>
      </c>
      <c r="U7" s="283" t="s">
        <v>265</v>
      </c>
      <c r="V7" s="286"/>
      <c r="W7" s="286"/>
      <c r="X7" s="286"/>
    </row>
    <row r="8" spans="1:24" ht="33" customHeight="1" thickTop="1" thickBot="1" x14ac:dyDescent="0.3">
      <c r="A8" s="283"/>
      <c r="B8" s="283"/>
      <c r="C8" s="283"/>
      <c r="D8" s="283"/>
      <c r="E8" s="283"/>
      <c r="F8" s="283"/>
      <c r="G8" s="154" t="s">
        <v>2</v>
      </c>
      <c r="H8" s="154" t="s">
        <v>3</v>
      </c>
      <c r="I8" s="283"/>
      <c r="J8" s="283"/>
      <c r="K8" s="284"/>
      <c r="L8" s="283"/>
      <c r="M8" s="154" t="s">
        <v>256</v>
      </c>
      <c r="N8" s="154" t="s">
        <v>255</v>
      </c>
      <c r="O8" s="283"/>
      <c r="P8" s="292"/>
      <c r="Q8" s="292"/>
      <c r="R8" s="292"/>
      <c r="S8" s="287"/>
      <c r="T8" s="287"/>
      <c r="U8" s="283"/>
      <c r="V8" s="287"/>
      <c r="W8" s="287"/>
      <c r="X8" s="287"/>
    </row>
    <row r="9" spans="1:24" ht="16.5" thickTop="1" thickBot="1" x14ac:dyDescent="0.3">
      <c r="A9" s="74">
        <v>1</v>
      </c>
      <c r="B9" s="74">
        <v>2</v>
      </c>
      <c r="C9" s="74">
        <v>3</v>
      </c>
      <c r="D9" s="74">
        <v>4</v>
      </c>
      <c r="E9" s="74">
        <v>5</v>
      </c>
      <c r="F9" s="74">
        <v>6</v>
      </c>
      <c r="G9" s="74">
        <v>7</v>
      </c>
      <c r="H9" s="74">
        <v>8</v>
      </c>
      <c r="I9" s="74">
        <v>9</v>
      </c>
      <c r="J9" s="74">
        <v>10</v>
      </c>
      <c r="K9" s="74">
        <v>11</v>
      </c>
      <c r="L9" s="74">
        <v>12</v>
      </c>
      <c r="M9" s="74">
        <v>13</v>
      </c>
      <c r="N9" s="74">
        <v>14</v>
      </c>
      <c r="O9" s="74">
        <v>15</v>
      </c>
      <c r="P9" s="74">
        <v>16</v>
      </c>
      <c r="Q9" s="74">
        <v>17</v>
      </c>
      <c r="R9" s="74">
        <v>18</v>
      </c>
      <c r="S9" s="74">
        <v>19</v>
      </c>
      <c r="T9" s="74">
        <v>20</v>
      </c>
      <c r="U9" s="74">
        <v>21</v>
      </c>
      <c r="V9" s="74">
        <v>22</v>
      </c>
      <c r="W9" s="74">
        <v>20</v>
      </c>
      <c r="X9" s="74">
        <v>21</v>
      </c>
    </row>
    <row r="10" spans="1:24" ht="15.75" thickTop="1" x14ac:dyDescent="0.25">
      <c r="A10" s="153">
        <v>1</v>
      </c>
      <c r="B10" s="22" t="s">
        <v>309</v>
      </c>
      <c r="C10" s="222" t="s">
        <v>643</v>
      </c>
      <c r="D10" s="73" t="s">
        <v>242</v>
      </c>
      <c r="E10" s="7">
        <v>1</v>
      </c>
      <c r="F10" s="15">
        <v>0</v>
      </c>
      <c r="G10" s="7"/>
      <c r="H10" s="7"/>
      <c r="I10" s="7"/>
      <c r="J10" s="17"/>
      <c r="K10" s="15">
        <f>+F10+H10</f>
        <v>0</v>
      </c>
      <c r="L10" s="7">
        <v>12</v>
      </c>
      <c r="M10" s="80">
        <v>0.16769999999999999</v>
      </c>
      <c r="N10" s="18">
        <v>0.1</v>
      </c>
      <c r="O10" s="17">
        <v>0</v>
      </c>
      <c r="P10" s="17">
        <v>0</v>
      </c>
      <c r="Q10" s="17">
        <v>0</v>
      </c>
      <c r="R10" s="17">
        <v>0</v>
      </c>
      <c r="S10" s="17">
        <v>0</v>
      </c>
      <c r="T10" s="17">
        <v>0</v>
      </c>
      <c r="U10" s="17">
        <f>+O10+P10+T10+Q10</f>
        <v>0</v>
      </c>
      <c r="V10" s="57">
        <f>+K10-Q10-U10</f>
        <v>0</v>
      </c>
      <c r="W10" s="81"/>
      <c r="X10" s="84"/>
    </row>
    <row r="11" spans="1:24" x14ac:dyDescent="0.25">
      <c r="A11" s="153">
        <v>2</v>
      </c>
      <c r="B11" s="22" t="s">
        <v>309</v>
      </c>
      <c r="C11" s="222" t="s">
        <v>644</v>
      </c>
      <c r="D11" s="5" t="s">
        <v>157</v>
      </c>
      <c r="E11" s="7">
        <v>1</v>
      </c>
      <c r="F11" s="15">
        <v>0</v>
      </c>
      <c r="G11" s="7"/>
      <c r="H11" s="7"/>
      <c r="I11" s="7"/>
      <c r="J11" s="5"/>
      <c r="K11" s="15">
        <f>+F11+H11</f>
        <v>0</v>
      </c>
      <c r="L11" s="7">
        <v>12</v>
      </c>
      <c r="M11" s="80">
        <v>0.16769999999999999</v>
      </c>
      <c r="N11" s="18">
        <v>0.5</v>
      </c>
      <c r="O11" s="15">
        <v>3560</v>
      </c>
      <c r="P11" s="17">
        <f>+'[1]CEDAR 032=3,90'!O11+'[1]CEDAR 032=3,90'!P11</f>
        <v>0</v>
      </c>
      <c r="Q11" s="17">
        <v>0</v>
      </c>
      <c r="R11" s="17">
        <v>0</v>
      </c>
      <c r="S11" s="17">
        <v>0</v>
      </c>
      <c r="T11" s="17">
        <v>0</v>
      </c>
      <c r="U11" s="15">
        <f>+O11+P11+Q11+T11</f>
        <v>3560</v>
      </c>
      <c r="V11" s="58">
        <f>+K11-Q11-T11</f>
        <v>0</v>
      </c>
      <c r="W11" s="82"/>
      <c r="X11" s="83"/>
    </row>
    <row r="12" spans="1:24" x14ac:dyDescent="0.25">
      <c r="A12" s="153">
        <v>3</v>
      </c>
      <c r="B12" s="22" t="s">
        <v>309</v>
      </c>
      <c r="C12" s="222" t="s">
        <v>645</v>
      </c>
      <c r="D12" s="5" t="s">
        <v>42</v>
      </c>
      <c r="E12" s="7">
        <v>1</v>
      </c>
      <c r="F12" s="15">
        <v>0</v>
      </c>
      <c r="G12" s="7"/>
      <c r="H12" s="7"/>
      <c r="I12" s="7"/>
      <c r="J12" s="5"/>
      <c r="K12" s="15">
        <f t="shared" ref="K12:K27" si="0">+F12+H12</f>
        <v>0</v>
      </c>
      <c r="L12" s="7">
        <v>12</v>
      </c>
      <c r="M12" s="80">
        <v>0.16769999999999999</v>
      </c>
      <c r="N12" s="18">
        <v>0.2</v>
      </c>
      <c r="O12" s="15">
        <v>4246.1000000000004</v>
      </c>
      <c r="P12" s="17">
        <f>+'[1]CEDAR 032=3,90'!O12+'[1]CEDAR 032=3,90'!P12</f>
        <v>0</v>
      </c>
      <c r="Q12" s="17">
        <v>0</v>
      </c>
      <c r="R12" s="17">
        <v>0</v>
      </c>
      <c r="S12" s="17">
        <v>0</v>
      </c>
      <c r="T12" s="17">
        <v>0</v>
      </c>
      <c r="U12" s="15">
        <f t="shared" ref="U12:U26" si="1">+O12+P12+Q12+T12</f>
        <v>4246.1000000000004</v>
      </c>
      <c r="V12" s="58">
        <f t="shared" ref="V12:V18" si="2">+K12-Q12-T12</f>
        <v>0</v>
      </c>
      <c r="W12" s="82"/>
      <c r="X12" s="75"/>
    </row>
    <row r="13" spans="1:24" x14ac:dyDescent="0.25">
      <c r="A13" s="153">
        <v>4</v>
      </c>
      <c r="B13" s="22" t="s">
        <v>309</v>
      </c>
      <c r="C13" s="222" t="s">
        <v>646</v>
      </c>
      <c r="D13" s="5" t="s">
        <v>242</v>
      </c>
      <c r="E13" s="7">
        <v>1</v>
      </c>
      <c r="F13" s="15">
        <v>0</v>
      </c>
      <c r="G13" s="7"/>
      <c r="H13" s="7"/>
      <c r="I13" s="7"/>
      <c r="J13" s="5"/>
      <c r="K13" s="15">
        <f t="shared" si="0"/>
        <v>0</v>
      </c>
      <c r="L13" s="7">
        <v>12</v>
      </c>
      <c r="M13" s="80">
        <v>0.16769999999999999</v>
      </c>
      <c r="N13" s="18">
        <v>0.1</v>
      </c>
      <c r="O13" s="15">
        <v>2758.5</v>
      </c>
      <c r="P13" s="17">
        <f>+'[1]CEDAR 032=3,90'!O13+'[1]CEDAR 032=3,90'!P13</f>
        <v>306.5</v>
      </c>
      <c r="Q13" s="17">
        <v>0</v>
      </c>
      <c r="R13" s="17">
        <v>0</v>
      </c>
      <c r="S13" s="17">
        <v>0</v>
      </c>
      <c r="T13" s="17">
        <v>0</v>
      </c>
      <c r="U13" s="15">
        <f t="shared" si="1"/>
        <v>3065</v>
      </c>
      <c r="V13" s="58">
        <f t="shared" si="2"/>
        <v>0</v>
      </c>
      <c r="W13" s="82"/>
      <c r="X13" s="75"/>
    </row>
    <row r="14" spans="1:24" x14ac:dyDescent="0.25">
      <c r="A14" s="153">
        <v>5</v>
      </c>
      <c r="B14" s="22" t="s">
        <v>309</v>
      </c>
      <c r="C14" s="222" t="s">
        <v>647</v>
      </c>
      <c r="D14" s="5" t="s">
        <v>40</v>
      </c>
      <c r="E14" s="7">
        <v>1</v>
      </c>
      <c r="F14" s="15">
        <v>0</v>
      </c>
      <c r="G14" s="7"/>
      <c r="H14" s="7"/>
      <c r="I14" s="7"/>
      <c r="J14" s="5"/>
      <c r="K14" s="15">
        <f t="shared" si="0"/>
        <v>0</v>
      </c>
      <c r="L14" s="7">
        <v>12</v>
      </c>
      <c r="M14" s="80">
        <v>0.16769999999999999</v>
      </c>
      <c r="N14" s="18">
        <v>0.2</v>
      </c>
      <c r="O14" s="15">
        <v>5370</v>
      </c>
      <c r="P14" s="17">
        <f>+'[1]CEDAR 032=3,90'!O14+'[1]CEDAR 032=3,90'!P14</f>
        <v>0</v>
      </c>
      <c r="Q14" s="17">
        <v>0</v>
      </c>
      <c r="R14" s="17">
        <v>0</v>
      </c>
      <c r="S14" s="17">
        <v>0</v>
      </c>
      <c r="T14" s="17">
        <v>0</v>
      </c>
      <c r="U14" s="15">
        <f t="shared" si="1"/>
        <v>5370</v>
      </c>
      <c r="V14" s="58">
        <f t="shared" si="2"/>
        <v>0</v>
      </c>
      <c r="W14" s="82"/>
      <c r="X14" s="83"/>
    </row>
    <row r="15" spans="1:24" x14ac:dyDescent="0.25">
      <c r="A15" s="153">
        <v>6</v>
      </c>
      <c r="B15" s="22" t="s">
        <v>309</v>
      </c>
      <c r="C15" s="222" t="s">
        <v>648</v>
      </c>
      <c r="D15" s="5" t="s">
        <v>158</v>
      </c>
      <c r="E15" s="7">
        <v>1</v>
      </c>
      <c r="F15" s="15">
        <v>0</v>
      </c>
      <c r="G15" s="7"/>
      <c r="H15" s="7"/>
      <c r="I15" s="7"/>
      <c r="J15" s="5"/>
      <c r="K15" s="15">
        <f t="shared" si="0"/>
        <v>0</v>
      </c>
      <c r="L15" s="7">
        <v>12</v>
      </c>
      <c r="M15" s="80">
        <v>0.16769999999999999</v>
      </c>
      <c r="N15" s="18">
        <v>0.2</v>
      </c>
      <c r="O15" s="15">
        <v>4495.34</v>
      </c>
      <c r="P15" s="17">
        <f>+'[1]CEDAR 032=3,90'!O15+'[1]CEDAR 032=3,90'!P15</f>
        <v>0</v>
      </c>
      <c r="Q15" s="17">
        <v>0</v>
      </c>
      <c r="R15" s="17">
        <v>0</v>
      </c>
      <c r="S15" s="17">
        <v>0</v>
      </c>
      <c r="T15" s="17">
        <v>0</v>
      </c>
      <c r="U15" s="15">
        <f t="shared" si="1"/>
        <v>4495.34</v>
      </c>
      <c r="V15" s="58">
        <f t="shared" si="2"/>
        <v>0</v>
      </c>
      <c r="W15" s="82"/>
      <c r="X15" s="83"/>
    </row>
    <row r="16" spans="1:24" x14ac:dyDescent="0.25">
      <c r="A16" s="153">
        <v>7</v>
      </c>
      <c r="B16" s="22" t="s">
        <v>309</v>
      </c>
      <c r="C16" s="222" t="s">
        <v>649</v>
      </c>
      <c r="D16" s="5" t="s">
        <v>158</v>
      </c>
      <c r="E16" s="7">
        <v>1</v>
      </c>
      <c r="F16" s="15">
        <v>0</v>
      </c>
      <c r="G16" s="7"/>
      <c r="H16" s="7"/>
      <c r="I16" s="7"/>
      <c r="J16" s="5"/>
      <c r="K16" s="15">
        <f t="shared" si="0"/>
        <v>0</v>
      </c>
      <c r="L16" s="7">
        <v>12</v>
      </c>
      <c r="M16" s="80">
        <v>0.16769999999999999</v>
      </c>
      <c r="N16" s="18">
        <v>0.2</v>
      </c>
      <c r="O16" s="15">
        <v>4595.6899999999996</v>
      </c>
      <c r="P16" s="17">
        <f>+'[1]CEDAR 032=3,90'!O16+'[1]CEDAR 032=3,90'!P16</f>
        <v>0</v>
      </c>
      <c r="Q16" s="17">
        <v>0</v>
      </c>
      <c r="R16" s="17">
        <v>0</v>
      </c>
      <c r="S16" s="17">
        <v>0</v>
      </c>
      <c r="T16" s="17">
        <v>0</v>
      </c>
      <c r="U16" s="15">
        <f t="shared" si="1"/>
        <v>4595.6899999999996</v>
      </c>
      <c r="V16" s="58">
        <f t="shared" si="2"/>
        <v>0</v>
      </c>
      <c r="W16" s="82"/>
      <c r="X16" s="83"/>
    </row>
    <row r="17" spans="1:26" x14ac:dyDescent="0.25">
      <c r="A17" s="153">
        <v>8</v>
      </c>
      <c r="B17" s="22" t="s">
        <v>309</v>
      </c>
      <c r="C17" s="222" t="s">
        <v>650</v>
      </c>
      <c r="D17" s="7" t="s">
        <v>159</v>
      </c>
      <c r="E17" s="7">
        <v>1</v>
      </c>
      <c r="F17" s="15">
        <v>0</v>
      </c>
      <c r="G17" s="7"/>
      <c r="H17" s="7"/>
      <c r="I17" s="7"/>
      <c r="J17" s="5"/>
      <c r="K17" s="15">
        <f t="shared" si="0"/>
        <v>0</v>
      </c>
      <c r="L17" s="7">
        <v>12</v>
      </c>
      <c r="M17" s="80">
        <v>0.16769999999999999</v>
      </c>
      <c r="N17" s="18">
        <v>0.2</v>
      </c>
      <c r="O17" s="15">
        <v>2315.3000000000002</v>
      </c>
      <c r="P17" s="17">
        <f>+'[1]CEDAR 032=3,90'!O17+'[1]CEDAR 032=3,90'!P17</f>
        <v>0</v>
      </c>
      <c r="Q17" s="17">
        <v>0</v>
      </c>
      <c r="R17" s="17">
        <v>0</v>
      </c>
      <c r="S17" s="17">
        <v>0</v>
      </c>
      <c r="T17" s="17">
        <v>0</v>
      </c>
      <c r="U17" s="15">
        <f t="shared" si="1"/>
        <v>2315.3000000000002</v>
      </c>
      <c r="V17" s="58">
        <f t="shared" si="2"/>
        <v>0</v>
      </c>
      <c r="W17" s="82"/>
      <c r="X17" s="83"/>
    </row>
    <row r="18" spans="1:26" x14ac:dyDescent="0.25">
      <c r="A18" s="153">
        <v>9</v>
      </c>
      <c r="B18" s="22" t="s">
        <v>309</v>
      </c>
      <c r="C18" s="222" t="s">
        <v>651</v>
      </c>
      <c r="D18" s="7" t="s">
        <v>160</v>
      </c>
      <c r="E18" s="7">
        <v>1</v>
      </c>
      <c r="F18" s="15">
        <v>0</v>
      </c>
      <c r="G18" s="7"/>
      <c r="H18" s="7"/>
      <c r="I18" s="7"/>
      <c r="J18" s="5"/>
      <c r="K18" s="15">
        <f t="shared" si="0"/>
        <v>0</v>
      </c>
      <c r="L18" s="7">
        <v>12</v>
      </c>
      <c r="M18" s="80">
        <v>0.16769999999999999</v>
      </c>
      <c r="N18" s="18">
        <v>0.2</v>
      </c>
      <c r="O18" s="15">
        <v>7597.12</v>
      </c>
      <c r="P18" s="17">
        <f>+'[1]CEDAR 032=3,90'!O18+'[1]CEDAR 032=3,90'!P18</f>
        <v>0</v>
      </c>
      <c r="Q18" s="17">
        <v>0</v>
      </c>
      <c r="R18" s="17">
        <v>0</v>
      </c>
      <c r="S18" s="17">
        <v>0</v>
      </c>
      <c r="T18" s="17">
        <v>0</v>
      </c>
      <c r="U18" s="15">
        <f t="shared" si="1"/>
        <v>7597.12</v>
      </c>
      <c r="V18" s="58">
        <f t="shared" si="2"/>
        <v>0</v>
      </c>
      <c r="W18" s="82"/>
      <c r="X18" s="83"/>
    </row>
    <row r="19" spans="1:26" x14ac:dyDescent="0.25">
      <c r="A19" s="153">
        <v>10</v>
      </c>
      <c r="B19" s="22" t="s">
        <v>309</v>
      </c>
      <c r="C19" s="222" t="s">
        <v>652</v>
      </c>
      <c r="D19" s="7" t="s">
        <v>161</v>
      </c>
      <c r="E19" s="7">
        <v>1</v>
      </c>
      <c r="F19" s="15">
        <v>8688</v>
      </c>
      <c r="G19" s="7"/>
      <c r="H19" s="7"/>
      <c r="I19" s="7"/>
      <c r="J19" s="5"/>
      <c r="K19" s="15">
        <f t="shared" si="0"/>
        <v>8688</v>
      </c>
      <c r="L19" s="7">
        <v>12</v>
      </c>
      <c r="M19" s="80">
        <v>0.16769999999999999</v>
      </c>
      <c r="N19" s="18">
        <v>0.2</v>
      </c>
      <c r="O19" s="17">
        <v>0</v>
      </c>
      <c r="P19" s="17">
        <f>+'[1]CEDAR 032=3,90'!O19+'[1]CEDAR 032=3,90'!P19</f>
        <v>2172</v>
      </c>
      <c r="Q19" s="17">
        <v>543</v>
      </c>
      <c r="R19" s="17">
        <v>1456.9775999999999</v>
      </c>
      <c r="S19" s="17">
        <f>+T19/12</f>
        <v>121.4148</v>
      </c>
      <c r="T19" s="17">
        <f>+K19*M19</f>
        <v>1456.9775999999999</v>
      </c>
      <c r="U19" s="15">
        <f t="shared" si="1"/>
        <v>4171.9776000000002</v>
      </c>
      <c r="V19" s="58">
        <f>+K19-Q19-R19-T19</f>
        <v>5231.0447999999997</v>
      </c>
      <c r="W19" s="78">
        <f>+S19*9</f>
        <v>1092.7331999999999</v>
      </c>
      <c r="X19" s="75">
        <f>+K19-O19-P19-W19</f>
        <v>5423.2668000000003</v>
      </c>
    </row>
    <row r="20" spans="1:26" x14ac:dyDescent="0.25">
      <c r="A20" s="153"/>
      <c r="B20" s="22"/>
      <c r="C20" s="222"/>
      <c r="D20" s="7" t="s">
        <v>162</v>
      </c>
      <c r="E20" s="7"/>
      <c r="F20" s="15">
        <v>0</v>
      </c>
      <c r="G20" s="7"/>
      <c r="H20" s="7"/>
      <c r="I20" s="7"/>
      <c r="J20" s="5"/>
      <c r="K20" s="15">
        <f t="shared" si="0"/>
        <v>0</v>
      </c>
      <c r="L20" s="7">
        <v>12</v>
      </c>
      <c r="M20" s="80">
        <v>0.16769999999999999</v>
      </c>
      <c r="N20" s="18">
        <v>0.2</v>
      </c>
      <c r="O20" s="17">
        <v>0</v>
      </c>
      <c r="P20" s="17">
        <f>+'[1]CEDAR 032=3,90'!O20+'[1]CEDAR 032=3,90'!P20</f>
        <v>0</v>
      </c>
      <c r="Q20" s="17">
        <v>0</v>
      </c>
      <c r="R20" s="17">
        <v>0</v>
      </c>
      <c r="S20" s="17">
        <f t="shared" ref="S20:S25" si="3">+T20/12</f>
        <v>0</v>
      </c>
      <c r="T20" s="21">
        <v>0</v>
      </c>
      <c r="U20" s="15">
        <f t="shared" si="1"/>
        <v>0</v>
      </c>
      <c r="V20" s="58">
        <f t="shared" ref="V20:V27" si="4">+K20-Q20-R20-T20</f>
        <v>0</v>
      </c>
      <c r="W20" s="78">
        <f t="shared" ref="W20:W22" si="5">+S20*9</f>
        <v>0</v>
      </c>
      <c r="X20" s="75">
        <f t="shared" ref="X20:X26" si="6">+K20-O20-P20-W20</f>
        <v>0</v>
      </c>
    </row>
    <row r="21" spans="1:26" x14ac:dyDescent="0.25">
      <c r="A21" s="153">
        <v>11</v>
      </c>
      <c r="B21" s="22" t="s">
        <v>309</v>
      </c>
      <c r="C21" s="222" t="s">
        <v>653</v>
      </c>
      <c r="D21" s="7" t="s">
        <v>163</v>
      </c>
      <c r="E21" s="7">
        <v>1</v>
      </c>
      <c r="F21" s="15">
        <v>0</v>
      </c>
      <c r="G21" s="7"/>
      <c r="H21" s="7"/>
      <c r="I21" s="7"/>
      <c r="J21" s="5"/>
      <c r="K21" s="15">
        <f t="shared" si="0"/>
        <v>0</v>
      </c>
      <c r="L21" s="7">
        <v>12</v>
      </c>
      <c r="M21" s="80">
        <v>0.16769999999999999</v>
      </c>
      <c r="N21" s="18">
        <v>0.2</v>
      </c>
      <c r="O21" s="17">
        <v>3706.81</v>
      </c>
      <c r="P21" s="17">
        <f>+'[1]CEDAR 032=3,90'!O21+'[1]CEDAR 032=3,90'!P21</f>
        <v>832.76</v>
      </c>
      <c r="Q21" s="17">
        <v>0</v>
      </c>
      <c r="R21" s="17">
        <v>0</v>
      </c>
      <c r="S21" s="17">
        <f t="shared" si="3"/>
        <v>0</v>
      </c>
      <c r="T21" s="21">
        <v>0</v>
      </c>
      <c r="U21" s="15">
        <f t="shared" si="1"/>
        <v>4539.57</v>
      </c>
      <c r="V21" s="58">
        <f t="shared" si="4"/>
        <v>0</v>
      </c>
      <c r="W21" s="78">
        <f t="shared" si="5"/>
        <v>0</v>
      </c>
      <c r="X21" s="75">
        <f t="shared" si="6"/>
        <v>-4539.57</v>
      </c>
      <c r="Y21" s="15"/>
      <c r="Z21" s="15"/>
    </row>
    <row r="22" spans="1:26" x14ac:dyDescent="0.25">
      <c r="A22" s="153">
        <v>12</v>
      </c>
      <c r="B22" s="22" t="s">
        <v>309</v>
      </c>
      <c r="C22" s="222" t="s">
        <v>654</v>
      </c>
      <c r="D22" s="7" t="s">
        <v>164</v>
      </c>
      <c r="E22" s="7">
        <v>1</v>
      </c>
      <c r="F22" s="15">
        <v>0</v>
      </c>
      <c r="G22" s="7"/>
      <c r="H22" s="7"/>
      <c r="I22" s="7"/>
      <c r="J22" s="5"/>
      <c r="K22" s="15">
        <f t="shared" si="0"/>
        <v>0</v>
      </c>
      <c r="L22" s="7">
        <v>12</v>
      </c>
      <c r="M22" s="80">
        <v>0.16769999999999999</v>
      </c>
      <c r="N22" s="18">
        <v>0.2</v>
      </c>
      <c r="O22" s="15">
        <v>3102.48</v>
      </c>
      <c r="P22" s="17">
        <f>+'[1]CEDAR 032=3,90'!O22+'[1]CEDAR 032=3,90'!P22</f>
        <v>775.62</v>
      </c>
      <c r="Q22" s="17">
        <v>0</v>
      </c>
      <c r="R22" s="17">
        <v>0</v>
      </c>
      <c r="S22" s="17">
        <f t="shared" si="3"/>
        <v>0</v>
      </c>
      <c r="T22" s="21">
        <v>0</v>
      </c>
      <c r="U22" s="15">
        <f t="shared" si="1"/>
        <v>3878.1</v>
      </c>
      <c r="V22" s="58">
        <f t="shared" si="4"/>
        <v>0</v>
      </c>
      <c r="W22" s="78">
        <f t="shared" si="5"/>
        <v>0</v>
      </c>
      <c r="X22" s="75">
        <f t="shared" si="6"/>
        <v>-3878.1</v>
      </c>
    </row>
    <row r="23" spans="1:26" x14ac:dyDescent="0.25">
      <c r="A23" s="153">
        <v>13</v>
      </c>
      <c r="B23" s="22" t="s">
        <v>309</v>
      </c>
      <c r="C23" s="222" t="s">
        <v>655</v>
      </c>
      <c r="D23" s="7" t="s">
        <v>165</v>
      </c>
      <c r="E23" s="7">
        <v>1</v>
      </c>
      <c r="F23" s="15">
        <v>3631.67</v>
      </c>
      <c r="G23" s="7"/>
      <c r="H23" s="7"/>
      <c r="I23" s="7"/>
      <c r="J23" s="5"/>
      <c r="K23" s="15">
        <f t="shared" si="0"/>
        <v>3631.67</v>
      </c>
      <c r="L23" s="7">
        <v>12</v>
      </c>
      <c r="M23" s="80">
        <v>0.16769999999999999</v>
      </c>
      <c r="N23" s="18">
        <v>0.2</v>
      </c>
      <c r="O23" s="15">
        <v>13800.33</v>
      </c>
      <c r="P23" s="17">
        <f>+'[1]CEDAR 032=3,90'!O23+'[1]CEDAR 032=3,90'!P23</f>
        <v>4358</v>
      </c>
      <c r="Q23" s="17">
        <v>1089.5</v>
      </c>
      <c r="R23" s="17">
        <v>609.03105899999991</v>
      </c>
      <c r="S23" s="17">
        <f t="shared" si="3"/>
        <v>50.752588249999995</v>
      </c>
      <c r="T23" s="21">
        <f>+K23*M23</f>
        <v>609.03105899999991</v>
      </c>
      <c r="U23" s="15">
        <f t="shared" si="1"/>
        <v>19856.861059000003</v>
      </c>
      <c r="V23" s="58">
        <f t="shared" si="4"/>
        <v>1324.1078820000002</v>
      </c>
      <c r="W23" s="78">
        <f>+S23*9</f>
        <v>456.77329424999994</v>
      </c>
      <c r="X23" s="75">
        <f t="shared" si="6"/>
        <v>-14983.43329425</v>
      </c>
    </row>
    <row r="24" spans="1:26" x14ac:dyDescent="0.25">
      <c r="A24" s="153">
        <v>14</v>
      </c>
      <c r="B24" s="22" t="s">
        <v>309</v>
      </c>
      <c r="C24" s="222" t="s">
        <v>656</v>
      </c>
      <c r="D24" s="7" t="s">
        <v>166</v>
      </c>
      <c r="E24" s="7">
        <v>1</v>
      </c>
      <c r="F24" s="15">
        <v>1037.8999999999999</v>
      </c>
      <c r="G24" s="7"/>
      <c r="H24" s="7"/>
      <c r="I24" s="7"/>
      <c r="J24" s="5"/>
      <c r="K24" s="15">
        <f t="shared" si="0"/>
        <v>1037.8999999999999</v>
      </c>
      <c r="L24" s="7">
        <v>12</v>
      </c>
      <c r="M24" s="80">
        <v>0.16769999999999999</v>
      </c>
      <c r="N24" s="18">
        <v>0.2</v>
      </c>
      <c r="O24" s="15">
        <v>3491.1</v>
      </c>
      <c r="P24" s="17">
        <f>+'[1]CEDAR 032=3,90'!O24+'[1]CEDAR 032=3,90'!P24</f>
        <v>1132.24</v>
      </c>
      <c r="Q24" s="17">
        <v>283.06200000000001</v>
      </c>
      <c r="R24" s="17">
        <v>174.05582999999996</v>
      </c>
      <c r="S24" s="17">
        <f t="shared" si="3"/>
        <v>14.504652499999997</v>
      </c>
      <c r="T24" s="21">
        <f>+K24*M24</f>
        <v>174.05582999999996</v>
      </c>
      <c r="U24" s="15">
        <f t="shared" si="1"/>
        <v>5080.4578300000003</v>
      </c>
      <c r="V24" s="58">
        <f t="shared" si="4"/>
        <v>406.72633999999999</v>
      </c>
      <c r="W24" s="78">
        <f>+S24*9</f>
        <v>130.54187249999998</v>
      </c>
      <c r="X24" s="75">
        <f t="shared" si="6"/>
        <v>-3715.9818724999996</v>
      </c>
    </row>
    <row r="25" spans="1:26" x14ac:dyDescent="0.25">
      <c r="A25" s="153">
        <v>15</v>
      </c>
      <c r="B25" s="22" t="s">
        <v>309</v>
      </c>
      <c r="C25" s="222" t="s">
        <v>657</v>
      </c>
      <c r="D25" s="7" t="s">
        <v>243</v>
      </c>
      <c r="E25" s="7">
        <v>1</v>
      </c>
      <c r="F25" s="15">
        <v>792</v>
      </c>
      <c r="G25" s="7"/>
      <c r="H25" s="7"/>
      <c r="I25" s="7"/>
      <c r="J25" s="5"/>
      <c r="K25" s="15">
        <f t="shared" si="0"/>
        <v>792</v>
      </c>
      <c r="L25" s="7">
        <v>12</v>
      </c>
      <c r="M25" s="80">
        <v>0.16769999999999999</v>
      </c>
      <c r="N25" s="18">
        <v>0.2</v>
      </c>
      <c r="O25" s="17">
        <v>2376</v>
      </c>
      <c r="P25" s="17">
        <f>+'[1]CEDAR 032=3,90'!O25+'[1]CEDAR 032=3,90'!P25</f>
        <v>792</v>
      </c>
      <c r="Q25" s="17">
        <v>198</v>
      </c>
      <c r="R25" s="17">
        <v>132.8184</v>
      </c>
      <c r="S25" s="17">
        <f t="shared" si="3"/>
        <v>11.068199999999999</v>
      </c>
      <c r="T25" s="21">
        <f t="shared" ref="T25:T26" si="7">+K25*M25</f>
        <v>132.8184</v>
      </c>
      <c r="U25" s="15">
        <f t="shared" si="1"/>
        <v>3498.8184000000001</v>
      </c>
      <c r="V25" s="58">
        <f t="shared" si="4"/>
        <v>328.36320000000001</v>
      </c>
      <c r="W25" s="78">
        <f>+S25*9</f>
        <v>99.613799999999998</v>
      </c>
      <c r="X25" s="75">
        <f t="shared" si="6"/>
        <v>-2475.6138000000001</v>
      </c>
    </row>
    <row r="26" spans="1:26" x14ac:dyDescent="0.25">
      <c r="A26" s="153">
        <v>16</v>
      </c>
      <c r="B26" s="22" t="s">
        <v>309</v>
      </c>
      <c r="C26" s="222" t="s">
        <v>658</v>
      </c>
      <c r="D26" s="7" t="s">
        <v>127</v>
      </c>
      <c r="E26" s="7">
        <v>1</v>
      </c>
      <c r="F26" s="15">
        <v>4116.66</v>
      </c>
      <c r="G26" s="7"/>
      <c r="H26" s="7"/>
      <c r="I26" s="7"/>
      <c r="J26" s="5"/>
      <c r="K26" s="15">
        <f t="shared" si="0"/>
        <v>4116.66</v>
      </c>
      <c r="L26" s="7">
        <v>12</v>
      </c>
      <c r="M26" s="80">
        <v>0.16769999999999999</v>
      </c>
      <c r="N26" s="18">
        <v>0.2</v>
      </c>
      <c r="O26" s="17">
        <v>11083.34</v>
      </c>
      <c r="P26" s="17">
        <f>+'[1]CEDAR 032=3,90'!O26+'[1]CEDAR 032=3,90'!P26</f>
        <v>3800</v>
      </c>
      <c r="Q26" s="17">
        <v>950</v>
      </c>
      <c r="R26" s="17">
        <v>690.36388199999988</v>
      </c>
      <c r="S26" s="17">
        <f>+T26/12</f>
        <v>57.530323499999987</v>
      </c>
      <c r="T26" s="21">
        <f t="shared" si="7"/>
        <v>690.36388199999988</v>
      </c>
      <c r="U26" s="15">
        <f t="shared" si="1"/>
        <v>16523.703882000002</v>
      </c>
      <c r="V26" s="58">
        <f t="shared" si="4"/>
        <v>1785.9322360000003</v>
      </c>
      <c r="W26" s="78">
        <f>+S26*9</f>
        <v>517.77291149999985</v>
      </c>
      <c r="X26" s="75">
        <f t="shared" si="6"/>
        <v>-11284.4529115</v>
      </c>
    </row>
    <row r="27" spans="1:26" x14ac:dyDescent="0.25">
      <c r="A27" s="153">
        <v>17</v>
      </c>
      <c r="B27" s="22" t="s">
        <v>309</v>
      </c>
      <c r="C27" s="222" t="s">
        <v>855</v>
      </c>
      <c r="D27" s="7" t="s">
        <v>103</v>
      </c>
      <c r="E27" s="7"/>
      <c r="F27" s="15">
        <v>0</v>
      </c>
      <c r="G27" s="7"/>
      <c r="H27" s="15">
        <v>8149.94</v>
      </c>
      <c r="I27" s="7"/>
      <c r="J27" s="5"/>
      <c r="K27" s="15">
        <f t="shared" si="0"/>
        <v>8149.94</v>
      </c>
      <c r="L27" s="7">
        <v>3</v>
      </c>
      <c r="M27" s="18">
        <v>0.16769999999999999</v>
      </c>
      <c r="N27" s="19"/>
      <c r="O27" s="17"/>
      <c r="P27" s="21"/>
      <c r="Q27" s="21"/>
      <c r="R27" s="21">
        <v>341.68623449999996</v>
      </c>
      <c r="S27" s="21">
        <f>+T27/12</f>
        <v>113.89541149999998</v>
      </c>
      <c r="T27" s="17">
        <f>+K27*M27</f>
        <v>1366.7449379999998</v>
      </c>
      <c r="U27" s="15">
        <f t="shared" ref="U27" si="8">+O27+P27+Q27+T27</f>
        <v>1366.7449379999998</v>
      </c>
      <c r="V27" s="58">
        <f t="shared" si="4"/>
        <v>6441.5088274999998</v>
      </c>
      <c r="W27" s="78">
        <f>+S27*9</f>
        <v>1025.0587034999999</v>
      </c>
      <c r="X27" s="75"/>
    </row>
    <row r="28" spans="1:26" ht="15.75" thickBot="1" x14ac:dyDescent="0.3">
      <c r="A28" s="56"/>
      <c r="B28" s="22"/>
      <c r="C28" s="22"/>
      <c r="D28" s="7"/>
      <c r="E28" s="7"/>
      <c r="F28" s="15">
        <v>0</v>
      </c>
      <c r="G28" s="7"/>
      <c r="H28" s="17"/>
      <c r="I28" s="7"/>
      <c r="J28" s="5"/>
      <c r="K28" s="15"/>
      <c r="L28" s="7"/>
      <c r="M28" s="18"/>
      <c r="N28" s="19"/>
      <c r="O28" s="15"/>
      <c r="P28" s="17"/>
      <c r="Q28" s="17"/>
      <c r="R28" s="17"/>
      <c r="S28" s="17"/>
      <c r="T28" s="17"/>
      <c r="U28" s="21"/>
      <c r="V28" s="57"/>
      <c r="W28" s="82"/>
      <c r="X28" s="83"/>
    </row>
    <row r="29" spans="1:26" s="71" customFormat="1" ht="16.5" thickTop="1" thickBot="1" x14ac:dyDescent="0.3">
      <c r="A29" s="298" t="s">
        <v>12</v>
      </c>
      <c r="B29" s="298"/>
      <c r="C29" s="298"/>
      <c r="D29" s="298"/>
      <c r="E29" s="298"/>
      <c r="F29" s="117">
        <f>SUM(F10:F28)</f>
        <v>18266.23</v>
      </c>
      <c r="G29" s="117">
        <f t="shared" ref="G29:V29" si="9">SUM(G10:G28)</f>
        <v>0</v>
      </c>
      <c r="H29" s="117">
        <f t="shared" si="9"/>
        <v>8149.94</v>
      </c>
      <c r="I29" s="117">
        <f t="shared" si="9"/>
        <v>0</v>
      </c>
      <c r="J29" s="117">
        <f t="shared" si="9"/>
        <v>0</v>
      </c>
      <c r="K29" s="124">
        <f t="shared" si="9"/>
        <v>26416.17</v>
      </c>
      <c r="L29" s="118"/>
      <c r="M29" s="118"/>
      <c r="N29" s="118"/>
      <c r="O29" s="117">
        <f t="shared" si="9"/>
        <v>72498.11</v>
      </c>
      <c r="P29" s="117">
        <f>SUM(P10:P28)</f>
        <v>14169.12</v>
      </c>
      <c r="Q29" s="117">
        <f>SUM(Q10:Q26)</f>
        <v>3063.5619999999999</v>
      </c>
      <c r="R29" s="117">
        <f>SUM(R10:R28)</f>
        <v>3404.9330055</v>
      </c>
      <c r="S29" s="117">
        <f>SUM(S10:S28)</f>
        <v>369.16597574999992</v>
      </c>
      <c r="T29" s="124">
        <f>SUM(T10:T28)</f>
        <v>4429.9917089999999</v>
      </c>
      <c r="U29" s="124">
        <f t="shared" si="9"/>
        <v>94160.78370900001</v>
      </c>
      <c r="V29" s="124">
        <f t="shared" si="9"/>
        <v>15517.683285499999</v>
      </c>
      <c r="W29" s="117">
        <f>SUM(W10:W28)</f>
        <v>3322.4937817499995</v>
      </c>
      <c r="X29" s="117">
        <f>SUM(X10:X28)</f>
        <v>-35453.885078250001</v>
      </c>
    </row>
    <row r="30" spans="1:26" ht="16.5" thickTop="1" thickBot="1" x14ac:dyDescent="0.3">
      <c r="A30" s="296" t="s">
        <v>351</v>
      </c>
      <c r="B30" s="297"/>
      <c r="C30" s="297"/>
      <c r="D30" s="297"/>
      <c r="E30" s="297"/>
      <c r="F30" s="121">
        <f>+F29</f>
        <v>18266.23</v>
      </c>
      <c r="G30" s="121"/>
      <c r="H30" s="121">
        <v>0</v>
      </c>
      <c r="I30" s="121"/>
      <c r="J30" s="121"/>
      <c r="K30" s="121">
        <f>+K29</f>
        <v>26416.17</v>
      </c>
      <c r="L30" s="119"/>
      <c r="M30" s="119"/>
      <c r="N30" s="119"/>
      <c r="O30" s="121">
        <f>O29</f>
        <v>72498.11</v>
      </c>
      <c r="P30" s="121">
        <f>P29</f>
        <v>14169.12</v>
      </c>
      <c r="Q30" s="121">
        <f>+Q29</f>
        <v>3063.5619999999999</v>
      </c>
      <c r="R30" s="121"/>
      <c r="S30" s="121"/>
      <c r="T30" s="121"/>
      <c r="U30" s="121">
        <f>+U29</f>
        <v>94160.78370900001</v>
      </c>
      <c r="V30" s="120">
        <f>+V29</f>
        <v>15517.683285499999</v>
      </c>
    </row>
    <row r="31" spans="1:26" ht="16.5" thickTop="1" thickBot="1" x14ac:dyDescent="0.3">
      <c r="A31" s="293" t="s">
        <v>291</v>
      </c>
      <c r="B31" s="294"/>
      <c r="C31" s="294"/>
      <c r="D31" s="294"/>
      <c r="E31" s="295"/>
      <c r="F31" s="116">
        <f>+F29-F30</f>
        <v>0</v>
      </c>
      <c r="G31" s="122"/>
      <c r="H31" s="123">
        <f>+H29-H30</f>
        <v>8149.94</v>
      </c>
      <c r="I31" s="122"/>
      <c r="J31" s="122"/>
      <c r="K31" s="116">
        <f>+K29-K30</f>
        <v>0</v>
      </c>
      <c r="L31" s="288"/>
      <c r="M31" s="289"/>
      <c r="N31" s="290"/>
      <c r="O31" s="116">
        <f>+O29-O30</f>
        <v>0</v>
      </c>
      <c r="P31" s="116">
        <f>+P29-P30</f>
        <v>0</v>
      </c>
      <c r="Q31" s="116">
        <f>+Q29-Q30</f>
        <v>0</v>
      </c>
      <c r="R31" s="116"/>
      <c r="S31" s="122"/>
      <c r="T31" s="122"/>
      <c r="U31" s="116">
        <f>+U29-U30</f>
        <v>0</v>
      </c>
      <c r="V31" s="116">
        <f>+V29-V30</f>
        <v>0</v>
      </c>
      <c r="X31" s="15"/>
    </row>
    <row r="32" spans="1:26" ht="15.75" thickTop="1" x14ac:dyDescent="0.25">
      <c r="F32" s="15"/>
      <c r="K32" s="15"/>
      <c r="P32" s="15"/>
      <c r="Q32" s="15"/>
      <c r="R32" s="15"/>
      <c r="U32" s="15"/>
      <c r="V32" s="15"/>
      <c r="X32" s="15"/>
    </row>
    <row r="33" spans="6:22" x14ac:dyDescent="0.25">
      <c r="F33" s="15"/>
      <c r="K33" s="15"/>
      <c r="R33" s="15"/>
      <c r="U33" s="142"/>
      <c r="V33" s="15"/>
    </row>
    <row r="34" spans="6:22" x14ac:dyDescent="0.25">
      <c r="K34" s="142"/>
      <c r="V34" s="15"/>
    </row>
    <row r="35" spans="6:22" ht="26.25" customHeight="1" x14ac:dyDescent="0.25"/>
  </sheetData>
  <mergeCells count="29">
    <mergeCell ref="A29:E29"/>
    <mergeCell ref="A30:E30"/>
    <mergeCell ref="A31:E31"/>
    <mergeCell ref="L31:N31"/>
    <mergeCell ref="W6:W8"/>
    <mergeCell ref="Q7:Q8"/>
    <mergeCell ref="C6:C8"/>
    <mergeCell ref="X6:X8"/>
    <mergeCell ref="P7:P8"/>
    <mergeCell ref="S7:S8"/>
    <mergeCell ref="T7:T8"/>
    <mergeCell ref="J6:J8"/>
    <mergeCell ref="K6:K8"/>
    <mergeCell ref="L6:L8"/>
    <mergeCell ref="M6:N7"/>
    <mergeCell ref="O6:U6"/>
    <mergeCell ref="O7:O8"/>
    <mergeCell ref="U7:U8"/>
    <mergeCell ref="A3:V3"/>
    <mergeCell ref="A4:V4"/>
    <mergeCell ref="A6:A8"/>
    <mergeCell ref="B6:B8"/>
    <mergeCell ref="D6:D8"/>
    <mergeCell ref="E6:E8"/>
    <mergeCell ref="F6:F8"/>
    <mergeCell ref="G6:H7"/>
    <mergeCell ref="I6:I8"/>
    <mergeCell ref="V6:V8"/>
    <mergeCell ref="R7:R8"/>
  </mergeCells>
  <pageMargins left="0.25" right="0.25" top="0.75" bottom="0.75" header="0.3" footer="0.3"/>
  <pageSetup paperSize="9" scale="60" fitToHeight="0" orientation="landscape" r:id="rId1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rgb="FF00B0F0"/>
    <pageSetUpPr fitToPage="1"/>
  </sheetPr>
  <dimension ref="A1:Z67"/>
  <sheetViews>
    <sheetView topLeftCell="E25" zoomScaleNormal="100" workbookViewId="0">
      <selection activeCell="O44" sqref="O44"/>
    </sheetView>
  </sheetViews>
  <sheetFormatPr defaultColWidth="9.140625" defaultRowHeight="15" x14ac:dyDescent="0.25"/>
  <cols>
    <col min="1" max="1" width="5.7109375" style="2" customWidth="1"/>
    <col min="2" max="2" width="7.28515625" style="2" customWidth="1"/>
    <col min="3" max="3" width="15" style="2" bestFit="1" customWidth="1"/>
    <col min="4" max="4" width="40.42578125" style="2" customWidth="1"/>
    <col min="5" max="5" width="14.28515625" style="2" customWidth="1"/>
    <col min="6" max="6" width="12.85546875" style="2" customWidth="1"/>
    <col min="7" max="7" width="14.42578125" style="2" bestFit="1" customWidth="1"/>
    <col min="8" max="8" width="29.28515625" style="2" bestFit="1" customWidth="1"/>
    <col min="9" max="9" width="7.42578125" style="2" customWidth="1"/>
    <col min="10" max="10" width="13.85546875" style="2" customWidth="1"/>
    <col min="11" max="11" width="14.42578125" style="2" customWidth="1"/>
    <col min="12" max="12" width="11.28515625" style="2" customWidth="1"/>
    <col min="13" max="13" width="8.42578125" style="2" customWidth="1"/>
    <col min="14" max="14" width="8.140625" style="2" customWidth="1"/>
    <col min="15" max="15" width="13.85546875" style="2" bestFit="1" customWidth="1"/>
    <col min="16" max="18" width="12.7109375" style="2" customWidth="1"/>
    <col min="19" max="19" width="14.42578125" style="2" customWidth="1"/>
    <col min="20" max="20" width="13.42578125" style="2" customWidth="1"/>
    <col min="21" max="21" width="14.85546875" style="2" customWidth="1"/>
    <col min="22" max="22" width="12.5703125" style="2" customWidth="1"/>
    <col min="23" max="23" width="12" style="2" hidden="1" customWidth="1"/>
    <col min="24" max="24" width="11.7109375" style="2" hidden="1" customWidth="1"/>
    <col min="25" max="26" width="10.85546875" style="2" bestFit="1" customWidth="1"/>
    <col min="27" max="16384" width="9.140625" style="2"/>
  </cols>
  <sheetData>
    <row r="1" spans="1:26" x14ac:dyDescent="0.25">
      <c r="A1" s="113" t="s">
        <v>359</v>
      </c>
    </row>
    <row r="3" spans="1:26" x14ac:dyDescent="0.25">
      <c r="A3" s="299" t="s">
        <v>864</v>
      </c>
      <c r="B3" s="299"/>
      <c r="C3" s="299"/>
      <c r="D3" s="299"/>
      <c r="E3" s="299"/>
      <c r="F3" s="299"/>
      <c r="G3" s="299"/>
      <c r="H3" s="299"/>
      <c r="I3" s="299"/>
      <c r="J3" s="299"/>
      <c r="K3" s="299"/>
      <c r="L3" s="299"/>
      <c r="M3" s="299"/>
      <c r="N3" s="299"/>
      <c r="O3" s="299"/>
      <c r="P3" s="299"/>
      <c r="Q3" s="299"/>
      <c r="R3" s="299"/>
      <c r="S3" s="299"/>
      <c r="T3" s="299"/>
      <c r="U3" s="299"/>
      <c r="V3" s="299"/>
    </row>
    <row r="4" spans="1:26" x14ac:dyDescent="0.25">
      <c r="A4" s="300" t="s">
        <v>338</v>
      </c>
      <c r="B4" s="300"/>
      <c r="C4" s="300"/>
      <c r="D4" s="300"/>
      <c r="E4" s="300"/>
      <c r="F4" s="300"/>
      <c r="G4" s="300"/>
      <c r="H4" s="300"/>
      <c r="I4" s="300"/>
      <c r="J4" s="300"/>
      <c r="K4" s="300"/>
      <c r="L4" s="300"/>
      <c r="M4" s="300"/>
      <c r="N4" s="300"/>
      <c r="O4" s="300"/>
      <c r="P4" s="300"/>
      <c r="Q4" s="300"/>
      <c r="R4" s="300"/>
      <c r="S4" s="300"/>
      <c r="T4" s="300"/>
      <c r="U4" s="300"/>
      <c r="V4" s="300"/>
    </row>
    <row r="5" spans="1:26" ht="15.75" thickBot="1" x14ac:dyDescent="0.3">
      <c r="A5" s="71"/>
    </row>
    <row r="6" spans="1:26" ht="16.5" customHeight="1" thickTop="1" thickBot="1" x14ac:dyDescent="0.3">
      <c r="A6" s="283" t="s">
        <v>0</v>
      </c>
      <c r="B6" s="283" t="s">
        <v>332</v>
      </c>
      <c r="C6" s="283" t="s">
        <v>524</v>
      </c>
      <c r="D6" s="283" t="s">
        <v>1</v>
      </c>
      <c r="E6" s="283" t="s">
        <v>7</v>
      </c>
      <c r="F6" s="283" t="s">
        <v>414</v>
      </c>
      <c r="G6" s="284" t="s">
        <v>523</v>
      </c>
      <c r="H6" s="284"/>
      <c r="I6" s="283" t="s">
        <v>18</v>
      </c>
      <c r="J6" s="283" t="s">
        <v>19</v>
      </c>
      <c r="K6" s="284" t="s">
        <v>408</v>
      </c>
      <c r="L6" s="283" t="s">
        <v>4</v>
      </c>
      <c r="M6" s="283" t="s">
        <v>5</v>
      </c>
      <c r="N6" s="283"/>
      <c r="O6" s="283" t="s">
        <v>8</v>
      </c>
      <c r="P6" s="283"/>
      <c r="Q6" s="283"/>
      <c r="R6" s="283"/>
      <c r="S6" s="283"/>
      <c r="T6" s="283"/>
      <c r="U6" s="283"/>
      <c r="V6" s="285" t="s">
        <v>868</v>
      </c>
      <c r="W6" s="285" t="s">
        <v>260</v>
      </c>
      <c r="X6" s="285" t="s">
        <v>261</v>
      </c>
    </row>
    <row r="7" spans="1:26" ht="25.5" customHeight="1" thickTop="1" thickBot="1" x14ac:dyDescent="0.3">
      <c r="A7" s="283"/>
      <c r="B7" s="283"/>
      <c r="C7" s="283"/>
      <c r="D7" s="283"/>
      <c r="E7" s="283"/>
      <c r="F7" s="283"/>
      <c r="G7" s="284"/>
      <c r="H7" s="284"/>
      <c r="I7" s="283"/>
      <c r="J7" s="283"/>
      <c r="K7" s="284"/>
      <c r="L7" s="283"/>
      <c r="M7" s="283"/>
      <c r="N7" s="283"/>
      <c r="O7" s="283" t="s">
        <v>6</v>
      </c>
      <c r="P7" s="291" t="s">
        <v>254</v>
      </c>
      <c r="Q7" s="291" t="s">
        <v>410</v>
      </c>
      <c r="R7" s="291" t="s">
        <v>865</v>
      </c>
      <c r="S7" s="285" t="s">
        <v>866</v>
      </c>
      <c r="T7" s="285" t="s">
        <v>867</v>
      </c>
      <c r="U7" s="283" t="s">
        <v>265</v>
      </c>
      <c r="V7" s="286"/>
      <c r="W7" s="286"/>
      <c r="X7" s="286"/>
    </row>
    <row r="8" spans="1:26" ht="31.5" customHeight="1" thickTop="1" thickBot="1" x14ac:dyDescent="0.3">
      <c r="A8" s="283"/>
      <c r="B8" s="283"/>
      <c r="C8" s="283"/>
      <c r="D8" s="283"/>
      <c r="E8" s="283"/>
      <c r="F8" s="283"/>
      <c r="G8" s="154" t="s">
        <v>2</v>
      </c>
      <c r="H8" s="154" t="s">
        <v>3</v>
      </c>
      <c r="I8" s="283"/>
      <c r="J8" s="283"/>
      <c r="K8" s="284"/>
      <c r="L8" s="283"/>
      <c r="M8" s="154" t="s">
        <v>256</v>
      </c>
      <c r="N8" s="154" t="s">
        <v>255</v>
      </c>
      <c r="O8" s="283"/>
      <c r="P8" s="292"/>
      <c r="Q8" s="292"/>
      <c r="R8" s="292"/>
      <c r="S8" s="287"/>
      <c r="T8" s="287"/>
      <c r="U8" s="283"/>
      <c r="V8" s="287"/>
      <c r="W8" s="287"/>
      <c r="X8" s="287"/>
    </row>
    <row r="9" spans="1:26" ht="16.5" thickTop="1" thickBot="1" x14ac:dyDescent="0.3">
      <c r="A9" s="74">
        <v>1</v>
      </c>
      <c r="B9" s="74">
        <v>2</v>
      </c>
      <c r="C9" s="74">
        <v>3</v>
      </c>
      <c r="D9" s="74">
        <v>4</v>
      </c>
      <c r="E9" s="74">
        <v>5</v>
      </c>
      <c r="F9" s="74">
        <v>6</v>
      </c>
      <c r="G9" s="74">
        <v>7</v>
      </c>
      <c r="H9" s="74">
        <v>8</v>
      </c>
      <c r="I9" s="74">
        <v>9</v>
      </c>
      <c r="J9" s="74">
        <v>10</v>
      </c>
      <c r="K9" s="74">
        <v>11</v>
      </c>
      <c r="L9" s="74">
        <v>12</v>
      </c>
      <c r="M9" s="74">
        <v>13</v>
      </c>
      <c r="N9" s="74">
        <v>14</v>
      </c>
      <c r="O9" s="74">
        <v>15</v>
      </c>
      <c r="P9" s="74">
        <v>16</v>
      </c>
      <c r="Q9" s="74">
        <v>17</v>
      </c>
      <c r="R9" s="74">
        <v>18</v>
      </c>
      <c r="S9" s="74">
        <v>19</v>
      </c>
      <c r="T9" s="74">
        <v>20</v>
      </c>
      <c r="U9" s="74">
        <v>21</v>
      </c>
      <c r="V9" s="74">
        <v>22</v>
      </c>
      <c r="W9" s="74">
        <v>20</v>
      </c>
      <c r="X9" s="74">
        <v>21</v>
      </c>
      <c r="Y9" s="15"/>
    </row>
    <row r="10" spans="1:26" ht="15.75" thickTop="1" x14ac:dyDescent="0.25">
      <c r="A10" s="153">
        <v>2</v>
      </c>
      <c r="B10" s="22" t="s">
        <v>339</v>
      </c>
      <c r="C10" s="222" t="s">
        <v>659</v>
      </c>
      <c r="D10" s="5" t="s">
        <v>352</v>
      </c>
      <c r="E10" s="7">
        <v>3</v>
      </c>
      <c r="F10" s="128">
        <v>0</v>
      </c>
      <c r="G10" s="7"/>
      <c r="H10" s="7"/>
      <c r="I10" s="7"/>
      <c r="J10" s="7"/>
      <c r="K10" s="128">
        <f>+F10+H10</f>
        <v>0</v>
      </c>
      <c r="L10" s="7">
        <v>12</v>
      </c>
      <c r="M10" s="80">
        <v>0.59450000000000003</v>
      </c>
      <c r="N10" s="18">
        <v>0.2</v>
      </c>
      <c r="O10" s="128">
        <v>9398</v>
      </c>
      <c r="P10" s="17">
        <v>0</v>
      </c>
      <c r="Q10" s="162">
        <v>0</v>
      </c>
      <c r="R10" s="162">
        <v>0</v>
      </c>
      <c r="S10" s="128">
        <f>+T10/12</f>
        <v>0</v>
      </c>
      <c r="T10" s="17">
        <f>+K10*M10</f>
        <v>0</v>
      </c>
      <c r="U10" s="17">
        <f>+O10+P10+Q10+T10</f>
        <v>9398</v>
      </c>
      <c r="V10" s="57">
        <f>+K10-Q10-T10</f>
        <v>0</v>
      </c>
      <c r="W10" s="78"/>
      <c r="X10" s="75">
        <f>+F10-O10-P10-W10</f>
        <v>-9398</v>
      </c>
      <c r="Y10" s="15"/>
    </row>
    <row r="11" spans="1:26" x14ac:dyDescent="0.25">
      <c r="A11" s="153">
        <v>11</v>
      </c>
      <c r="B11" s="22" t="s">
        <v>339</v>
      </c>
      <c r="C11" s="222" t="s">
        <v>660</v>
      </c>
      <c r="D11" s="7" t="s">
        <v>353</v>
      </c>
      <c r="E11" s="7">
        <v>2</v>
      </c>
      <c r="F11" s="128">
        <v>0</v>
      </c>
      <c r="G11" s="7"/>
      <c r="H11" s="7"/>
      <c r="I11" s="7"/>
      <c r="J11" s="7"/>
      <c r="K11" s="128">
        <f>+F11+H11</f>
        <v>0</v>
      </c>
      <c r="L11" s="7">
        <v>12</v>
      </c>
      <c r="M11" s="80">
        <v>0.59450000000000003</v>
      </c>
      <c r="N11" s="18">
        <v>0.2</v>
      </c>
      <c r="O11" s="128">
        <v>6895</v>
      </c>
      <c r="P11" s="17">
        <v>0</v>
      </c>
      <c r="Q11" s="17">
        <v>0</v>
      </c>
      <c r="R11" s="17">
        <v>0</v>
      </c>
      <c r="S11" s="128">
        <f t="shared" ref="S11:S46" si="0">+T11/12</f>
        <v>0</v>
      </c>
      <c r="T11" s="17">
        <f>+K11*M11</f>
        <v>0</v>
      </c>
      <c r="U11" s="17">
        <f>+O11+P11+Q11+T11</f>
        <v>6895</v>
      </c>
      <c r="V11" s="57">
        <f>+K11-Q11-T11</f>
        <v>0</v>
      </c>
      <c r="W11" s="78"/>
      <c r="X11" s="75">
        <v>0</v>
      </c>
      <c r="Y11" s="15"/>
    </row>
    <row r="12" spans="1:26" x14ac:dyDescent="0.25">
      <c r="A12" s="153">
        <v>12</v>
      </c>
      <c r="B12" s="22" t="s">
        <v>339</v>
      </c>
      <c r="C12" s="222" t="s">
        <v>661</v>
      </c>
      <c r="D12" s="7" t="s">
        <v>354</v>
      </c>
      <c r="E12" s="7">
        <v>1</v>
      </c>
      <c r="F12" s="128">
        <v>0</v>
      </c>
      <c r="G12" s="7"/>
      <c r="H12" s="7"/>
      <c r="I12" s="7"/>
      <c r="J12" s="7"/>
      <c r="K12" s="128">
        <f t="shared" ref="K12:K47" si="1">+F12+H12</f>
        <v>0</v>
      </c>
      <c r="L12" s="7">
        <v>12</v>
      </c>
      <c r="M12" s="80">
        <v>0.59450000000000003</v>
      </c>
      <c r="N12" s="18">
        <v>0.2</v>
      </c>
      <c r="O12" s="128">
        <v>3828</v>
      </c>
      <c r="P12" s="17">
        <v>0</v>
      </c>
      <c r="Q12" s="17">
        <v>0</v>
      </c>
      <c r="R12" s="17">
        <v>0</v>
      </c>
      <c r="S12" s="128">
        <f t="shared" si="0"/>
        <v>0</v>
      </c>
      <c r="T12" s="17">
        <f t="shared" ref="T12:T47" si="2">+K12*M12</f>
        <v>0</v>
      </c>
      <c r="U12" s="17">
        <f t="shared" ref="U12:U47" si="3">+O12+P12+Q12+T12</f>
        <v>3828</v>
      </c>
      <c r="V12" s="57">
        <f t="shared" ref="V12:V45" si="4">+K12-Q12-T12</f>
        <v>0</v>
      </c>
      <c r="W12" s="78"/>
      <c r="X12" s="75">
        <v>0</v>
      </c>
      <c r="Y12" s="15"/>
      <c r="Z12" s="15"/>
    </row>
    <row r="13" spans="1:26" x14ac:dyDescent="0.25">
      <c r="A13" s="153">
        <v>13</v>
      </c>
      <c r="B13" s="22" t="s">
        <v>339</v>
      </c>
      <c r="C13" s="222" t="s">
        <v>662</v>
      </c>
      <c r="D13" s="7" t="s">
        <v>167</v>
      </c>
      <c r="E13" s="7">
        <v>1</v>
      </c>
      <c r="F13" s="128">
        <v>0</v>
      </c>
      <c r="G13" s="7"/>
      <c r="H13" s="7"/>
      <c r="I13" s="7"/>
      <c r="J13" s="7"/>
      <c r="K13" s="128">
        <f t="shared" si="1"/>
        <v>0</v>
      </c>
      <c r="L13" s="7">
        <v>12</v>
      </c>
      <c r="M13" s="80">
        <v>0.59450000000000003</v>
      </c>
      <c r="N13" s="18">
        <v>0.25</v>
      </c>
      <c r="O13" s="128">
        <v>2846</v>
      </c>
      <c r="P13" s="17">
        <v>0</v>
      </c>
      <c r="Q13" s="17">
        <v>0</v>
      </c>
      <c r="R13" s="17">
        <v>0</v>
      </c>
      <c r="S13" s="128">
        <f t="shared" si="0"/>
        <v>0</v>
      </c>
      <c r="T13" s="17">
        <f t="shared" si="2"/>
        <v>0</v>
      </c>
      <c r="U13" s="17">
        <f t="shared" si="3"/>
        <v>2846</v>
      </c>
      <c r="V13" s="57">
        <f t="shared" si="4"/>
        <v>0</v>
      </c>
      <c r="W13" s="78"/>
      <c r="X13" s="75">
        <v>0</v>
      </c>
      <c r="Y13" s="15"/>
    </row>
    <row r="14" spans="1:26" x14ac:dyDescent="0.25">
      <c r="A14" s="153">
        <v>14</v>
      </c>
      <c r="B14" s="22" t="s">
        <v>339</v>
      </c>
      <c r="C14" s="222" t="s">
        <v>663</v>
      </c>
      <c r="D14" s="7" t="s">
        <v>168</v>
      </c>
      <c r="E14" s="7">
        <v>2</v>
      </c>
      <c r="F14" s="128">
        <v>0</v>
      </c>
      <c r="G14" s="7"/>
      <c r="H14" s="7"/>
      <c r="I14" s="7"/>
      <c r="J14" s="7"/>
      <c r="K14" s="128">
        <f t="shared" si="1"/>
        <v>0</v>
      </c>
      <c r="L14" s="7">
        <v>12</v>
      </c>
      <c r="M14" s="80">
        <v>0.59450000000000003</v>
      </c>
      <c r="N14" s="18">
        <v>0.25</v>
      </c>
      <c r="O14" s="128">
        <v>6703</v>
      </c>
      <c r="P14" s="17">
        <v>0</v>
      </c>
      <c r="Q14" s="17">
        <v>0</v>
      </c>
      <c r="R14" s="17">
        <v>0</v>
      </c>
      <c r="S14" s="128">
        <f t="shared" si="0"/>
        <v>0</v>
      </c>
      <c r="T14" s="17">
        <f t="shared" si="2"/>
        <v>0</v>
      </c>
      <c r="U14" s="17">
        <f t="shared" si="3"/>
        <v>6703</v>
      </c>
      <c r="V14" s="57">
        <f t="shared" si="4"/>
        <v>0</v>
      </c>
      <c r="W14" s="78"/>
      <c r="X14" s="75">
        <v>0</v>
      </c>
      <c r="Y14" s="15"/>
    </row>
    <row r="15" spans="1:26" x14ac:dyDescent="0.25">
      <c r="A15" s="153">
        <v>15</v>
      </c>
      <c r="B15" s="22" t="s">
        <v>339</v>
      </c>
      <c r="C15" s="222" t="s">
        <v>664</v>
      </c>
      <c r="D15" s="7" t="s">
        <v>170</v>
      </c>
      <c r="E15" s="7">
        <v>1</v>
      </c>
      <c r="F15" s="128">
        <v>0</v>
      </c>
      <c r="G15" s="7"/>
      <c r="H15" s="7"/>
      <c r="I15" s="7"/>
      <c r="J15" s="7"/>
      <c r="K15" s="128">
        <f t="shared" si="1"/>
        <v>0</v>
      </c>
      <c r="L15" s="7">
        <v>12</v>
      </c>
      <c r="M15" s="80">
        <v>0.59450000000000003</v>
      </c>
      <c r="N15" s="18">
        <v>0.25</v>
      </c>
      <c r="O15" s="128">
        <v>2099</v>
      </c>
      <c r="P15" s="17">
        <v>0</v>
      </c>
      <c r="Q15" s="17">
        <v>0</v>
      </c>
      <c r="R15" s="17">
        <v>0</v>
      </c>
      <c r="S15" s="128">
        <f t="shared" si="0"/>
        <v>0</v>
      </c>
      <c r="T15" s="17">
        <f t="shared" si="2"/>
        <v>0</v>
      </c>
      <c r="U15" s="17">
        <f t="shared" si="3"/>
        <v>2099</v>
      </c>
      <c r="V15" s="57">
        <f t="shared" si="4"/>
        <v>0</v>
      </c>
      <c r="W15" s="78"/>
      <c r="X15" s="75">
        <v>0</v>
      </c>
      <c r="Y15" s="15"/>
    </row>
    <row r="16" spans="1:26" x14ac:dyDescent="0.25">
      <c r="A16" s="153">
        <v>16</v>
      </c>
      <c r="B16" s="22" t="s">
        <v>339</v>
      </c>
      <c r="C16" s="222" t="s">
        <v>665</v>
      </c>
      <c r="D16" s="7" t="s">
        <v>169</v>
      </c>
      <c r="E16" s="7">
        <v>1</v>
      </c>
      <c r="F16" s="128">
        <v>0</v>
      </c>
      <c r="G16" s="7"/>
      <c r="H16" s="7"/>
      <c r="I16" s="7"/>
      <c r="J16" s="7"/>
      <c r="K16" s="128">
        <f t="shared" si="1"/>
        <v>0</v>
      </c>
      <c r="L16" s="7">
        <v>12</v>
      </c>
      <c r="M16" s="80">
        <v>0.59450000000000003</v>
      </c>
      <c r="N16" s="18">
        <v>0.25</v>
      </c>
      <c r="O16" s="128">
        <v>2720</v>
      </c>
      <c r="P16" s="17">
        <v>0</v>
      </c>
      <c r="Q16" s="17">
        <v>0</v>
      </c>
      <c r="R16" s="17">
        <v>0</v>
      </c>
      <c r="S16" s="128">
        <f t="shared" si="0"/>
        <v>0</v>
      </c>
      <c r="T16" s="17">
        <f t="shared" si="2"/>
        <v>0</v>
      </c>
      <c r="U16" s="17">
        <f t="shared" si="3"/>
        <v>2720</v>
      </c>
      <c r="V16" s="57">
        <f t="shared" si="4"/>
        <v>0</v>
      </c>
      <c r="W16" s="78"/>
      <c r="X16" s="75">
        <v>0</v>
      </c>
      <c r="Y16" s="15"/>
    </row>
    <row r="17" spans="1:25" x14ac:dyDescent="0.25">
      <c r="A17" s="153">
        <v>21</v>
      </c>
      <c r="B17" s="22" t="s">
        <v>339</v>
      </c>
      <c r="C17" s="222" t="s">
        <v>666</v>
      </c>
      <c r="D17" s="7" t="s">
        <v>171</v>
      </c>
      <c r="E17" s="7">
        <v>1</v>
      </c>
      <c r="F17" s="128">
        <v>0</v>
      </c>
      <c r="G17" s="7"/>
      <c r="H17" s="7"/>
      <c r="I17" s="7"/>
      <c r="J17" s="7"/>
      <c r="K17" s="128">
        <f t="shared" si="1"/>
        <v>0</v>
      </c>
      <c r="L17" s="7">
        <v>12</v>
      </c>
      <c r="M17" s="80">
        <v>0.59450000000000003</v>
      </c>
      <c r="N17" s="18">
        <v>0.25</v>
      </c>
      <c r="O17" s="128">
        <v>2079</v>
      </c>
      <c r="P17" s="17">
        <v>0</v>
      </c>
      <c r="Q17" s="17">
        <v>0</v>
      </c>
      <c r="R17" s="17">
        <v>0</v>
      </c>
      <c r="S17" s="128">
        <f t="shared" si="0"/>
        <v>0</v>
      </c>
      <c r="T17" s="17">
        <f t="shared" si="2"/>
        <v>0</v>
      </c>
      <c r="U17" s="17">
        <f t="shared" si="3"/>
        <v>2079</v>
      </c>
      <c r="V17" s="57">
        <f t="shared" si="4"/>
        <v>0</v>
      </c>
      <c r="W17" s="78"/>
      <c r="X17" s="75">
        <v>0</v>
      </c>
      <c r="Y17" s="15"/>
    </row>
    <row r="18" spans="1:25" x14ac:dyDescent="0.25">
      <c r="A18" s="153">
        <v>23</v>
      </c>
      <c r="B18" s="22" t="s">
        <v>339</v>
      </c>
      <c r="C18" s="222" t="s">
        <v>667</v>
      </c>
      <c r="D18" s="7" t="s">
        <v>172</v>
      </c>
      <c r="E18" s="7">
        <v>1</v>
      </c>
      <c r="F18" s="128">
        <v>0</v>
      </c>
      <c r="G18" s="7"/>
      <c r="H18" s="7"/>
      <c r="I18" s="7"/>
      <c r="J18" s="7"/>
      <c r="K18" s="128">
        <f t="shared" si="1"/>
        <v>0</v>
      </c>
      <c r="L18" s="7">
        <v>12</v>
      </c>
      <c r="M18" s="80">
        <v>0.59450000000000003</v>
      </c>
      <c r="N18" s="18">
        <v>0.25</v>
      </c>
      <c r="O18" s="128">
        <v>3817.8</v>
      </c>
      <c r="P18" s="17">
        <v>0</v>
      </c>
      <c r="Q18" s="17">
        <v>0</v>
      </c>
      <c r="R18" s="17">
        <v>0</v>
      </c>
      <c r="S18" s="128">
        <f t="shared" si="0"/>
        <v>0</v>
      </c>
      <c r="T18" s="17">
        <f t="shared" si="2"/>
        <v>0</v>
      </c>
      <c r="U18" s="17">
        <f t="shared" si="3"/>
        <v>3817.8</v>
      </c>
      <c r="V18" s="57">
        <f t="shared" si="4"/>
        <v>0</v>
      </c>
      <c r="W18" s="78"/>
      <c r="X18" s="75">
        <v>0</v>
      </c>
      <c r="Y18" s="15"/>
    </row>
    <row r="19" spans="1:25" x14ac:dyDescent="0.25">
      <c r="A19" s="153">
        <v>24</v>
      </c>
      <c r="B19" s="22" t="s">
        <v>339</v>
      </c>
      <c r="C19" s="222" t="s">
        <v>668</v>
      </c>
      <c r="D19" s="7" t="s">
        <v>173</v>
      </c>
      <c r="E19" s="7">
        <v>1</v>
      </c>
      <c r="F19" s="128">
        <v>0</v>
      </c>
      <c r="G19" s="7"/>
      <c r="H19" s="7"/>
      <c r="I19" s="7"/>
      <c r="J19" s="7"/>
      <c r="K19" s="128">
        <f t="shared" si="1"/>
        <v>0</v>
      </c>
      <c r="L19" s="7">
        <v>12</v>
      </c>
      <c r="M19" s="80">
        <v>0.59450000000000003</v>
      </c>
      <c r="N19" s="18">
        <v>0.5</v>
      </c>
      <c r="O19" s="128">
        <v>3500</v>
      </c>
      <c r="P19" s="17">
        <v>0</v>
      </c>
      <c r="Q19" s="17">
        <v>0</v>
      </c>
      <c r="R19" s="17">
        <v>0</v>
      </c>
      <c r="S19" s="128">
        <f t="shared" si="0"/>
        <v>0</v>
      </c>
      <c r="T19" s="17">
        <f t="shared" si="2"/>
        <v>0</v>
      </c>
      <c r="U19" s="17">
        <f t="shared" si="3"/>
        <v>3500</v>
      </c>
      <c r="V19" s="57">
        <f t="shared" si="4"/>
        <v>0</v>
      </c>
      <c r="W19" s="78"/>
      <c r="X19" s="75">
        <v>0</v>
      </c>
      <c r="Y19" s="15"/>
    </row>
    <row r="20" spans="1:25" x14ac:dyDescent="0.25">
      <c r="A20" s="153">
        <v>26</v>
      </c>
      <c r="B20" s="22" t="s">
        <v>339</v>
      </c>
      <c r="C20" s="222" t="s">
        <v>669</v>
      </c>
      <c r="D20" s="7" t="s">
        <v>174</v>
      </c>
      <c r="E20" s="7">
        <v>1</v>
      </c>
      <c r="F20" s="128">
        <v>0</v>
      </c>
      <c r="G20" s="7"/>
      <c r="H20" s="7"/>
      <c r="I20" s="7"/>
      <c r="J20" s="7"/>
      <c r="K20" s="128">
        <f t="shared" si="1"/>
        <v>0</v>
      </c>
      <c r="L20" s="7">
        <v>12</v>
      </c>
      <c r="M20" s="80">
        <v>0.59450000000000003</v>
      </c>
      <c r="N20" s="18">
        <v>0.5</v>
      </c>
      <c r="O20" s="128">
        <v>5533</v>
      </c>
      <c r="P20" s="17">
        <v>0</v>
      </c>
      <c r="Q20" s="17">
        <v>0</v>
      </c>
      <c r="R20" s="17">
        <v>0</v>
      </c>
      <c r="S20" s="128">
        <f t="shared" si="0"/>
        <v>0</v>
      </c>
      <c r="T20" s="17">
        <f t="shared" si="2"/>
        <v>0</v>
      </c>
      <c r="U20" s="17">
        <f t="shared" si="3"/>
        <v>5533</v>
      </c>
      <c r="V20" s="57">
        <f t="shared" si="4"/>
        <v>0</v>
      </c>
      <c r="W20" s="78"/>
      <c r="X20" s="75">
        <v>0</v>
      </c>
      <c r="Y20" s="15"/>
    </row>
    <row r="21" spans="1:25" x14ac:dyDescent="0.25">
      <c r="A21" s="153">
        <v>27</v>
      </c>
      <c r="B21" s="22" t="s">
        <v>339</v>
      </c>
      <c r="C21" s="222" t="s">
        <v>670</v>
      </c>
      <c r="D21" s="7" t="s">
        <v>175</v>
      </c>
      <c r="E21" s="7">
        <v>1</v>
      </c>
      <c r="F21" s="128">
        <v>0</v>
      </c>
      <c r="G21" s="7"/>
      <c r="H21" s="7"/>
      <c r="I21" s="7"/>
      <c r="J21" s="5"/>
      <c r="K21" s="128">
        <f t="shared" si="1"/>
        <v>0</v>
      </c>
      <c r="L21" s="7">
        <v>12</v>
      </c>
      <c r="M21" s="80">
        <v>0.59450000000000003</v>
      </c>
      <c r="N21" s="18">
        <v>0.5</v>
      </c>
      <c r="O21" s="128">
        <v>5217.08</v>
      </c>
      <c r="P21" s="17">
        <v>0</v>
      </c>
      <c r="Q21" s="17">
        <v>0</v>
      </c>
      <c r="R21" s="17">
        <v>0</v>
      </c>
      <c r="S21" s="128">
        <f t="shared" si="0"/>
        <v>0</v>
      </c>
      <c r="T21" s="17">
        <f t="shared" si="2"/>
        <v>0</v>
      </c>
      <c r="U21" s="17">
        <f t="shared" si="3"/>
        <v>5217.08</v>
      </c>
      <c r="V21" s="57">
        <f t="shared" si="4"/>
        <v>0</v>
      </c>
      <c r="W21" s="78"/>
      <c r="X21" s="75">
        <v>0</v>
      </c>
      <c r="Y21" s="15"/>
    </row>
    <row r="22" spans="1:25" x14ac:dyDescent="0.25">
      <c r="A22" s="153">
        <v>28</v>
      </c>
      <c r="B22" s="22" t="s">
        <v>339</v>
      </c>
      <c r="C22" s="222" t="s">
        <v>671</v>
      </c>
      <c r="D22" s="7" t="s">
        <v>176</v>
      </c>
      <c r="E22" s="7">
        <v>1</v>
      </c>
      <c r="F22" s="128">
        <v>0</v>
      </c>
      <c r="G22" s="7"/>
      <c r="H22" s="7"/>
      <c r="I22" s="7"/>
      <c r="J22" s="5"/>
      <c r="K22" s="128">
        <f t="shared" si="1"/>
        <v>0</v>
      </c>
      <c r="L22" s="7">
        <v>12</v>
      </c>
      <c r="M22" s="80">
        <v>0.59450000000000003</v>
      </c>
      <c r="N22" s="18">
        <v>0.5</v>
      </c>
      <c r="O22" s="128">
        <v>6270</v>
      </c>
      <c r="P22" s="17">
        <v>0</v>
      </c>
      <c r="Q22" s="17">
        <v>0</v>
      </c>
      <c r="R22" s="17">
        <v>0</v>
      </c>
      <c r="S22" s="128">
        <f t="shared" si="0"/>
        <v>0</v>
      </c>
      <c r="T22" s="17">
        <f t="shared" si="2"/>
        <v>0</v>
      </c>
      <c r="U22" s="17">
        <f t="shared" si="3"/>
        <v>6270</v>
      </c>
      <c r="V22" s="57">
        <f t="shared" si="4"/>
        <v>0</v>
      </c>
      <c r="W22" s="78"/>
      <c r="X22" s="75">
        <v>0</v>
      </c>
      <c r="Y22" s="15"/>
    </row>
    <row r="23" spans="1:25" x14ac:dyDescent="0.25">
      <c r="A23" s="153">
        <v>29</v>
      </c>
      <c r="B23" s="22" t="s">
        <v>339</v>
      </c>
      <c r="C23" s="222" t="s">
        <v>672</v>
      </c>
      <c r="D23" s="7" t="s">
        <v>177</v>
      </c>
      <c r="E23" s="7">
        <v>1</v>
      </c>
      <c r="F23" s="128">
        <v>0</v>
      </c>
      <c r="G23" s="7"/>
      <c r="H23" s="7"/>
      <c r="I23" s="7"/>
      <c r="J23" s="5"/>
      <c r="K23" s="128">
        <f t="shared" si="1"/>
        <v>0</v>
      </c>
      <c r="L23" s="7">
        <v>12</v>
      </c>
      <c r="M23" s="80">
        <v>0.59450000000000003</v>
      </c>
      <c r="N23" s="18">
        <v>0.5</v>
      </c>
      <c r="O23" s="128">
        <v>6857</v>
      </c>
      <c r="P23" s="17">
        <v>0</v>
      </c>
      <c r="Q23" s="17">
        <v>0</v>
      </c>
      <c r="R23" s="17">
        <v>0</v>
      </c>
      <c r="S23" s="128">
        <f t="shared" si="0"/>
        <v>0</v>
      </c>
      <c r="T23" s="17">
        <f t="shared" si="2"/>
        <v>0</v>
      </c>
      <c r="U23" s="17">
        <f t="shared" si="3"/>
        <v>6857</v>
      </c>
      <c r="V23" s="57">
        <f t="shared" si="4"/>
        <v>0</v>
      </c>
      <c r="W23" s="78"/>
      <c r="X23" s="75">
        <v>0</v>
      </c>
      <c r="Y23" s="15"/>
    </row>
    <row r="24" spans="1:25" x14ac:dyDescent="0.25">
      <c r="A24" s="153">
        <v>31</v>
      </c>
      <c r="B24" s="22" t="s">
        <v>339</v>
      </c>
      <c r="C24" s="222" t="s">
        <v>673</v>
      </c>
      <c r="D24" s="7" t="s">
        <v>178</v>
      </c>
      <c r="E24" s="7">
        <v>1</v>
      </c>
      <c r="F24" s="128">
        <v>0</v>
      </c>
      <c r="G24" s="7"/>
      <c r="H24" s="7"/>
      <c r="I24" s="7"/>
      <c r="J24" s="7"/>
      <c r="K24" s="128">
        <f t="shared" si="1"/>
        <v>0</v>
      </c>
      <c r="L24" s="7">
        <v>12</v>
      </c>
      <c r="M24" s="80">
        <v>0.59450000000000003</v>
      </c>
      <c r="N24" s="18">
        <v>0.5</v>
      </c>
      <c r="O24" s="128">
        <v>6966.23</v>
      </c>
      <c r="P24" s="17">
        <v>0</v>
      </c>
      <c r="Q24" s="17">
        <v>0</v>
      </c>
      <c r="R24" s="17">
        <v>0</v>
      </c>
      <c r="S24" s="128">
        <f t="shared" si="0"/>
        <v>0</v>
      </c>
      <c r="T24" s="17">
        <f t="shared" si="2"/>
        <v>0</v>
      </c>
      <c r="U24" s="17">
        <f t="shared" si="3"/>
        <v>6966.23</v>
      </c>
      <c r="V24" s="57">
        <f t="shared" si="4"/>
        <v>0</v>
      </c>
      <c r="W24" s="78"/>
      <c r="X24" s="75">
        <v>0</v>
      </c>
      <c r="Y24" s="15"/>
    </row>
    <row r="25" spans="1:25" x14ac:dyDescent="0.25">
      <c r="A25" s="153">
        <v>32</v>
      </c>
      <c r="B25" s="22" t="s">
        <v>339</v>
      </c>
      <c r="C25" s="222" t="s">
        <v>674</v>
      </c>
      <c r="D25" s="7" t="s">
        <v>179</v>
      </c>
      <c r="E25" s="7">
        <v>1</v>
      </c>
      <c r="F25" s="128">
        <v>0</v>
      </c>
      <c r="G25" s="7"/>
      <c r="H25" s="7"/>
      <c r="I25" s="7"/>
      <c r="J25" s="7"/>
      <c r="K25" s="128">
        <f t="shared" si="1"/>
        <v>0</v>
      </c>
      <c r="L25" s="7">
        <v>12</v>
      </c>
      <c r="M25" s="80">
        <v>0.59450000000000003</v>
      </c>
      <c r="N25" s="18">
        <v>0.5</v>
      </c>
      <c r="O25" s="128">
        <v>7606.31</v>
      </c>
      <c r="P25" s="17">
        <v>0</v>
      </c>
      <c r="Q25" s="17">
        <v>0</v>
      </c>
      <c r="R25" s="17">
        <v>0</v>
      </c>
      <c r="S25" s="128">
        <f t="shared" si="0"/>
        <v>0</v>
      </c>
      <c r="T25" s="17">
        <f t="shared" si="2"/>
        <v>0</v>
      </c>
      <c r="U25" s="17">
        <f t="shared" si="3"/>
        <v>7606.31</v>
      </c>
      <c r="V25" s="57">
        <f t="shared" si="4"/>
        <v>0</v>
      </c>
      <c r="W25" s="78"/>
      <c r="X25" s="75">
        <v>0</v>
      </c>
      <c r="Y25" s="15"/>
    </row>
    <row r="26" spans="1:25" x14ac:dyDescent="0.25">
      <c r="A26" s="153">
        <v>33</v>
      </c>
      <c r="B26" s="22" t="s">
        <v>339</v>
      </c>
      <c r="C26" s="222" t="s">
        <v>675</v>
      </c>
      <c r="D26" s="7" t="s">
        <v>180</v>
      </c>
      <c r="E26" s="7">
        <v>1</v>
      </c>
      <c r="F26" s="128">
        <v>0</v>
      </c>
      <c r="G26" s="7"/>
      <c r="H26" s="7"/>
      <c r="I26" s="7"/>
      <c r="J26" s="5"/>
      <c r="K26" s="128">
        <f t="shared" si="1"/>
        <v>0</v>
      </c>
      <c r="L26" s="7">
        <v>12</v>
      </c>
      <c r="M26" s="80">
        <v>0.59450000000000003</v>
      </c>
      <c r="N26" s="18">
        <v>0.5</v>
      </c>
      <c r="O26" s="128">
        <v>7487.04</v>
      </c>
      <c r="P26" s="17">
        <v>0</v>
      </c>
      <c r="Q26" s="17">
        <v>0</v>
      </c>
      <c r="R26" s="17">
        <v>0</v>
      </c>
      <c r="S26" s="128">
        <f t="shared" si="0"/>
        <v>0</v>
      </c>
      <c r="T26" s="17">
        <f t="shared" si="2"/>
        <v>0</v>
      </c>
      <c r="U26" s="17">
        <f t="shared" si="3"/>
        <v>7487.04</v>
      </c>
      <c r="V26" s="57">
        <f t="shared" si="4"/>
        <v>0</v>
      </c>
      <c r="W26" s="78"/>
      <c r="X26" s="75">
        <v>0</v>
      </c>
      <c r="Y26" s="15"/>
    </row>
    <row r="27" spans="1:25" x14ac:dyDescent="0.25">
      <c r="A27" s="153">
        <v>34</v>
      </c>
      <c r="B27" s="22" t="s">
        <v>339</v>
      </c>
      <c r="C27" s="222" t="s">
        <v>676</v>
      </c>
      <c r="D27" s="7" t="s">
        <v>181</v>
      </c>
      <c r="E27" s="7">
        <v>1</v>
      </c>
      <c r="F27" s="128">
        <v>0</v>
      </c>
      <c r="G27" s="7"/>
      <c r="H27" s="7"/>
      <c r="I27" s="7"/>
      <c r="J27" s="5"/>
      <c r="K27" s="128">
        <f t="shared" si="1"/>
        <v>0</v>
      </c>
      <c r="L27" s="7">
        <v>12</v>
      </c>
      <c r="M27" s="80">
        <v>0.59450000000000003</v>
      </c>
      <c r="N27" s="18">
        <v>0.5</v>
      </c>
      <c r="O27" s="128">
        <v>25244</v>
      </c>
      <c r="P27" s="17">
        <v>0</v>
      </c>
      <c r="Q27" s="17">
        <v>0</v>
      </c>
      <c r="R27" s="17">
        <v>0</v>
      </c>
      <c r="S27" s="128">
        <f t="shared" si="0"/>
        <v>0</v>
      </c>
      <c r="T27" s="17">
        <f t="shared" si="2"/>
        <v>0</v>
      </c>
      <c r="U27" s="17">
        <f t="shared" si="3"/>
        <v>25244</v>
      </c>
      <c r="V27" s="57">
        <f t="shared" si="4"/>
        <v>0</v>
      </c>
      <c r="W27" s="78"/>
      <c r="X27" s="75">
        <v>0</v>
      </c>
      <c r="Y27" s="15"/>
    </row>
    <row r="28" spans="1:25" x14ac:dyDescent="0.25">
      <c r="A28" s="153">
        <v>35</v>
      </c>
      <c r="B28" s="22" t="s">
        <v>339</v>
      </c>
      <c r="C28" s="222" t="s">
        <v>677</v>
      </c>
      <c r="D28" s="7" t="s">
        <v>182</v>
      </c>
      <c r="E28" s="7">
        <v>1</v>
      </c>
      <c r="F28" s="128">
        <v>0</v>
      </c>
      <c r="G28" s="7"/>
      <c r="H28" s="7"/>
      <c r="I28" s="7"/>
      <c r="J28" s="5"/>
      <c r="K28" s="128">
        <f t="shared" si="1"/>
        <v>0</v>
      </c>
      <c r="L28" s="7">
        <v>12</v>
      </c>
      <c r="M28" s="80">
        <v>0.59450000000000003</v>
      </c>
      <c r="N28" s="18">
        <v>0.5</v>
      </c>
      <c r="O28" s="128">
        <v>9975.5499999999993</v>
      </c>
      <c r="P28" s="17">
        <v>0</v>
      </c>
      <c r="Q28" s="17">
        <v>0</v>
      </c>
      <c r="R28" s="17">
        <v>0</v>
      </c>
      <c r="S28" s="128">
        <f t="shared" si="0"/>
        <v>0</v>
      </c>
      <c r="T28" s="17">
        <f t="shared" si="2"/>
        <v>0</v>
      </c>
      <c r="U28" s="17">
        <f t="shared" si="3"/>
        <v>9975.5499999999993</v>
      </c>
      <c r="V28" s="57">
        <f t="shared" si="4"/>
        <v>0</v>
      </c>
      <c r="W28" s="78"/>
      <c r="X28" s="75">
        <v>0</v>
      </c>
      <c r="Y28" s="15"/>
    </row>
    <row r="29" spans="1:25" x14ac:dyDescent="0.25">
      <c r="A29" s="153">
        <v>36</v>
      </c>
      <c r="B29" s="22" t="s">
        <v>339</v>
      </c>
      <c r="C29" s="222" t="s">
        <v>678</v>
      </c>
      <c r="D29" s="7" t="s">
        <v>183</v>
      </c>
      <c r="E29" s="7">
        <v>1</v>
      </c>
      <c r="F29" s="128">
        <v>0</v>
      </c>
      <c r="G29" s="7"/>
      <c r="H29" s="7"/>
      <c r="I29" s="7"/>
      <c r="J29" s="5"/>
      <c r="K29" s="128">
        <f t="shared" si="1"/>
        <v>0</v>
      </c>
      <c r="L29" s="7">
        <v>12</v>
      </c>
      <c r="M29" s="80">
        <v>0.59450000000000003</v>
      </c>
      <c r="N29" s="18">
        <v>0.5</v>
      </c>
      <c r="O29" s="128">
        <v>10446.65</v>
      </c>
      <c r="P29" s="17">
        <v>0</v>
      </c>
      <c r="Q29" s="17">
        <v>0</v>
      </c>
      <c r="R29" s="17">
        <v>0</v>
      </c>
      <c r="S29" s="128">
        <f t="shared" si="0"/>
        <v>0</v>
      </c>
      <c r="T29" s="17">
        <f t="shared" si="2"/>
        <v>0</v>
      </c>
      <c r="U29" s="17">
        <f t="shared" si="3"/>
        <v>10446.65</v>
      </c>
      <c r="V29" s="57">
        <f t="shared" si="4"/>
        <v>0</v>
      </c>
      <c r="W29" s="78"/>
      <c r="X29" s="75">
        <v>0</v>
      </c>
      <c r="Y29" s="15"/>
    </row>
    <row r="30" spans="1:25" x14ac:dyDescent="0.25">
      <c r="A30" s="153">
        <v>37</v>
      </c>
      <c r="B30" s="22" t="s">
        <v>339</v>
      </c>
      <c r="C30" s="222" t="s">
        <v>679</v>
      </c>
      <c r="D30" s="7" t="s">
        <v>184</v>
      </c>
      <c r="E30" s="7">
        <v>1</v>
      </c>
      <c r="F30" s="128">
        <v>0</v>
      </c>
      <c r="G30" s="7"/>
      <c r="H30" s="7"/>
      <c r="I30" s="7"/>
      <c r="J30" s="5"/>
      <c r="K30" s="128">
        <f t="shared" si="1"/>
        <v>0</v>
      </c>
      <c r="L30" s="7">
        <v>12</v>
      </c>
      <c r="M30" s="80">
        <v>0.59450000000000003</v>
      </c>
      <c r="N30" s="18">
        <v>0.5</v>
      </c>
      <c r="O30" s="128">
        <v>9786.0499999999993</v>
      </c>
      <c r="P30" s="17">
        <v>0</v>
      </c>
      <c r="Q30" s="17">
        <v>0</v>
      </c>
      <c r="R30" s="17">
        <v>0</v>
      </c>
      <c r="S30" s="128">
        <f t="shared" si="0"/>
        <v>0</v>
      </c>
      <c r="T30" s="17">
        <f t="shared" si="2"/>
        <v>0</v>
      </c>
      <c r="U30" s="17">
        <f t="shared" si="3"/>
        <v>9786.0499999999993</v>
      </c>
      <c r="V30" s="57">
        <f t="shared" si="4"/>
        <v>0</v>
      </c>
      <c r="W30" s="78"/>
      <c r="X30" s="75">
        <v>0</v>
      </c>
      <c r="Y30" s="15"/>
    </row>
    <row r="31" spans="1:25" x14ac:dyDescent="0.25">
      <c r="A31" s="153">
        <v>38</v>
      </c>
      <c r="B31" s="22" t="s">
        <v>339</v>
      </c>
      <c r="C31" s="222" t="s">
        <v>680</v>
      </c>
      <c r="D31" s="7" t="s">
        <v>185</v>
      </c>
      <c r="E31" s="7">
        <v>1</v>
      </c>
      <c r="F31" s="128">
        <v>0</v>
      </c>
      <c r="G31" s="7"/>
      <c r="H31" s="7"/>
      <c r="I31" s="7"/>
      <c r="J31" s="5"/>
      <c r="K31" s="128">
        <f t="shared" si="1"/>
        <v>0</v>
      </c>
      <c r="L31" s="7">
        <v>12</v>
      </c>
      <c r="M31" s="80">
        <v>0.59450000000000003</v>
      </c>
      <c r="N31" s="18">
        <v>0.5</v>
      </c>
      <c r="O31" s="128">
        <v>8088.03</v>
      </c>
      <c r="P31" s="17">
        <v>0</v>
      </c>
      <c r="Q31" s="17">
        <v>0</v>
      </c>
      <c r="R31" s="17">
        <v>0</v>
      </c>
      <c r="S31" s="128">
        <f t="shared" si="0"/>
        <v>0</v>
      </c>
      <c r="T31" s="17">
        <f t="shared" si="2"/>
        <v>0</v>
      </c>
      <c r="U31" s="17">
        <f t="shared" si="3"/>
        <v>8088.03</v>
      </c>
      <c r="V31" s="57">
        <f t="shared" si="4"/>
        <v>0</v>
      </c>
      <c r="W31" s="78"/>
      <c r="X31" s="75">
        <f t="shared" ref="X31:X46" si="5">+F31-O31-P31-W31</f>
        <v>-8088.03</v>
      </c>
      <c r="Y31" s="15"/>
    </row>
    <row r="32" spans="1:25" x14ac:dyDescent="0.25">
      <c r="A32" s="153">
        <v>39</v>
      </c>
      <c r="B32" s="22" t="s">
        <v>339</v>
      </c>
      <c r="C32" s="222" t="s">
        <v>681</v>
      </c>
      <c r="D32" s="7" t="s">
        <v>186</v>
      </c>
      <c r="E32" s="7">
        <v>8</v>
      </c>
      <c r="F32" s="128">
        <v>0</v>
      </c>
      <c r="G32" s="7"/>
      <c r="H32" s="7"/>
      <c r="I32" s="7"/>
      <c r="J32" s="5"/>
      <c r="K32" s="128">
        <f t="shared" si="1"/>
        <v>0</v>
      </c>
      <c r="L32" s="7">
        <v>12</v>
      </c>
      <c r="M32" s="80">
        <v>0.59450000000000003</v>
      </c>
      <c r="N32" s="18">
        <v>0.5</v>
      </c>
      <c r="O32" s="128">
        <v>16600</v>
      </c>
      <c r="P32" s="17">
        <v>0</v>
      </c>
      <c r="Q32" s="17">
        <v>0</v>
      </c>
      <c r="R32" s="17">
        <v>0</v>
      </c>
      <c r="S32" s="128">
        <f t="shared" si="0"/>
        <v>0</v>
      </c>
      <c r="T32" s="17">
        <f t="shared" si="2"/>
        <v>0</v>
      </c>
      <c r="U32" s="17">
        <f t="shared" si="3"/>
        <v>16600</v>
      </c>
      <c r="V32" s="57">
        <f t="shared" si="4"/>
        <v>0</v>
      </c>
      <c r="W32" s="78"/>
      <c r="X32" s="75">
        <f t="shared" si="5"/>
        <v>-16600</v>
      </c>
      <c r="Y32" s="15"/>
    </row>
    <row r="33" spans="1:25" x14ac:dyDescent="0.25">
      <c r="A33" s="153">
        <v>40</v>
      </c>
      <c r="B33" s="22" t="s">
        <v>339</v>
      </c>
      <c r="C33" s="222" t="s">
        <v>682</v>
      </c>
      <c r="D33" s="7" t="s">
        <v>187</v>
      </c>
      <c r="E33" s="7">
        <v>2</v>
      </c>
      <c r="F33" s="128">
        <v>0</v>
      </c>
      <c r="G33" s="7"/>
      <c r="H33" s="7"/>
      <c r="I33" s="7"/>
      <c r="J33" s="5"/>
      <c r="K33" s="128">
        <f t="shared" si="1"/>
        <v>0</v>
      </c>
      <c r="L33" s="7">
        <v>12</v>
      </c>
      <c r="M33" s="80">
        <v>0.59450000000000003</v>
      </c>
      <c r="N33" s="18">
        <v>0.5</v>
      </c>
      <c r="O33" s="128">
        <v>13207.02</v>
      </c>
      <c r="P33" s="17">
        <v>0</v>
      </c>
      <c r="Q33" s="17">
        <v>0</v>
      </c>
      <c r="R33" s="17">
        <v>0</v>
      </c>
      <c r="S33" s="128">
        <f t="shared" si="0"/>
        <v>0</v>
      </c>
      <c r="T33" s="17">
        <f t="shared" si="2"/>
        <v>0</v>
      </c>
      <c r="U33" s="17">
        <f t="shared" si="3"/>
        <v>13207.02</v>
      </c>
      <c r="V33" s="57">
        <f t="shared" si="4"/>
        <v>0</v>
      </c>
      <c r="W33" s="78"/>
      <c r="X33" s="75">
        <f t="shared" si="5"/>
        <v>-13207.02</v>
      </c>
      <c r="Y33" s="15"/>
    </row>
    <row r="34" spans="1:25" x14ac:dyDescent="0.25">
      <c r="A34" s="153">
        <v>41</v>
      </c>
      <c r="B34" s="22" t="s">
        <v>339</v>
      </c>
      <c r="C34" s="222" t="s">
        <v>683</v>
      </c>
      <c r="D34" s="7" t="s">
        <v>188</v>
      </c>
      <c r="E34" s="7">
        <v>1</v>
      </c>
      <c r="F34" s="128">
        <v>0</v>
      </c>
      <c r="G34" s="7"/>
      <c r="H34" s="7"/>
      <c r="I34" s="7"/>
      <c r="J34" s="5"/>
      <c r="K34" s="128">
        <f t="shared" si="1"/>
        <v>0</v>
      </c>
      <c r="L34" s="7">
        <v>12</v>
      </c>
      <c r="M34" s="80">
        <v>0.59450000000000003</v>
      </c>
      <c r="N34" s="18">
        <v>0.5</v>
      </c>
      <c r="O34" s="128">
        <v>10684.71</v>
      </c>
      <c r="P34" s="17">
        <v>0</v>
      </c>
      <c r="Q34" s="17">
        <v>0</v>
      </c>
      <c r="R34" s="17">
        <v>0</v>
      </c>
      <c r="S34" s="128">
        <f t="shared" si="0"/>
        <v>0</v>
      </c>
      <c r="T34" s="17">
        <f t="shared" si="2"/>
        <v>0</v>
      </c>
      <c r="U34" s="17">
        <f t="shared" si="3"/>
        <v>10684.71</v>
      </c>
      <c r="V34" s="57">
        <f t="shared" si="4"/>
        <v>0</v>
      </c>
      <c r="W34" s="78"/>
      <c r="X34" s="75">
        <f t="shared" si="5"/>
        <v>-10684.71</v>
      </c>
      <c r="Y34" s="15"/>
    </row>
    <row r="35" spans="1:25" x14ac:dyDescent="0.25">
      <c r="A35" s="153">
        <v>42</v>
      </c>
      <c r="B35" s="22" t="s">
        <v>339</v>
      </c>
      <c r="C35" s="222" t="s">
        <v>684</v>
      </c>
      <c r="D35" s="7" t="s">
        <v>244</v>
      </c>
      <c r="E35" s="7">
        <v>4</v>
      </c>
      <c r="F35" s="128">
        <v>1174.2900000000009</v>
      </c>
      <c r="G35" s="7"/>
      <c r="H35" s="7"/>
      <c r="I35" s="7"/>
      <c r="J35" s="5"/>
      <c r="K35" s="128">
        <f t="shared" si="1"/>
        <v>1174.2900000000009</v>
      </c>
      <c r="L35" s="7">
        <v>12</v>
      </c>
      <c r="M35" s="80">
        <v>0.05</v>
      </c>
      <c r="N35" s="18">
        <v>0.25</v>
      </c>
      <c r="O35" s="128">
        <v>16446.21</v>
      </c>
      <c r="P35" s="17">
        <v>5873.5</v>
      </c>
      <c r="Q35" s="17">
        <v>1174.29</v>
      </c>
      <c r="R35" s="17">
        <v>58.714500000000044</v>
      </c>
      <c r="S35" s="128">
        <v>0</v>
      </c>
      <c r="T35" s="17">
        <v>0</v>
      </c>
      <c r="U35" s="17">
        <f t="shared" si="3"/>
        <v>23494</v>
      </c>
      <c r="V35" s="57">
        <f t="shared" si="4"/>
        <v>9.0949470177292824E-13</v>
      </c>
      <c r="W35" s="78">
        <f>+S35*9</f>
        <v>0</v>
      </c>
      <c r="X35" s="75">
        <f t="shared" si="5"/>
        <v>-21145.42</v>
      </c>
      <c r="Y35" s="15"/>
    </row>
    <row r="36" spans="1:25" x14ac:dyDescent="0.25">
      <c r="A36" s="153">
        <v>43</v>
      </c>
      <c r="B36" s="22" t="s">
        <v>339</v>
      </c>
      <c r="C36" s="222" t="s">
        <v>685</v>
      </c>
      <c r="D36" s="7" t="s">
        <v>189</v>
      </c>
      <c r="E36" s="7">
        <v>1</v>
      </c>
      <c r="F36" s="128">
        <v>0</v>
      </c>
      <c r="G36" s="7"/>
      <c r="H36" s="7"/>
      <c r="I36" s="7"/>
      <c r="J36" s="5"/>
      <c r="K36" s="128">
        <f t="shared" si="1"/>
        <v>0</v>
      </c>
      <c r="L36" s="7">
        <v>12</v>
      </c>
      <c r="M36" s="80">
        <v>0.59450000000000003</v>
      </c>
      <c r="N36" s="18">
        <v>0.5</v>
      </c>
      <c r="O36" s="128">
        <v>6984.29</v>
      </c>
      <c r="P36" s="17">
        <v>0</v>
      </c>
      <c r="Q36" s="17">
        <v>0</v>
      </c>
      <c r="R36" s="17">
        <v>0</v>
      </c>
      <c r="S36" s="128">
        <f t="shared" si="0"/>
        <v>0</v>
      </c>
      <c r="T36" s="17">
        <f t="shared" si="2"/>
        <v>0</v>
      </c>
      <c r="U36" s="17">
        <f t="shared" si="3"/>
        <v>6984.29</v>
      </c>
      <c r="V36" s="57">
        <f t="shared" si="4"/>
        <v>0</v>
      </c>
      <c r="W36" s="78"/>
      <c r="X36" s="75">
        <f t="shared" si="5"/>
        <v>-6984.29</v>
      </c>
      <c r="Y36" s="15"/>
    </row>
    <row r="37" spans="1:25" x14ac:dyDescent="0.25">
      <c r="A37" s="153">
        <v>44</v>
      </c>
      <c r="B37" s="22" t="s">
        <v>339</v>
      </c>
      <c r="C37" s="222" t="s">
        <v>686</v>
      </c>
      <c r="D37" s="7" t="s">
        <v>190</v>
      </c>
      <c r="E37" s="7">
        <v>1</v>
      </c>
      <c r="F37" s="128">
        <v>0</v>
      </c>
      <c r="G37" s="7"/>
      <c r="H37" s="7"/>
      <c r="I37" s="7"/>
      <c r="J37" s="5"/>
      <c r="K37" s="128">
        <f t="shared" si="1"/>
        <v>0</v>
      </c>
      <c r="L37" s="7">
        <v>12</v>
      </c>
      <c r="M37" s="80">
        <v>0.59450000000000003</v>
      </c>
      <c r="N37" s="18">
        <v>0.5</v>
      </c>
      <c r="O37" s="128">
        <v>7424.8</v>
      </c>
      <c r="P37" s="17">
        <v>0</v>
      </c>
      <c r="Q37" s="17">
        <v>0</v>
      </c>
      <c r="R37" s="17">
        <v>0</v>
      </c>
      <c r="S37" s="128">
        <f t="shared" si="0"/>
        <v>0</v>
      </c>
      <c r="T37" s="17">
        <f t="shared" si="2"/>
        <v>0</v>
      </c>
      <c r="U37" s="17">
        <f t="shared" si="3"/>
        <v>7424.8</v>
      </c>
      <c r="V37" s="57">
        <f t="shared" si="4"/>
        <v>0</v>
      </c>
      <c r="W37" s="78"/>
      <c r="X37" s="75">
        <f t="shared" si="5"/>
        <v>-7424.8</v>
      </c>
      <c r="Y37" s="15"/>
    </row>
    <row r="38" spans="1:25" x14ac:dyDescent="0.25">
      <c r="A38" s="153">
        <v>45</v>
      </c>
      <c r="B38" s="22" t="s">
        <v>339</v>
      </c>
      <c r="C38" s="222" t="s">
        <v>687</v>
      </c>
      <c r="D38" s="7" t="s">
        <v>191</v>
      </c>
      <c r="E38" s="7">
        <v>1</v>
      </c>
      <c r="F38" s="128">
        <v>0</v>
      </c>
      <c r="G38" s="7"/>
      <c r="H38" s="7"/>
      <c r="I38" s="7"/>
      <c r="J38" s="5"/>
      <c r="K38" s="128">
        <f t="shared" si="1"/>
        <v>0</v>
      </c>
      <c r="L38" s="7">
        <v>12</v>
      </c>
      <c r="M38" s="80">
        <v>0.59450000000000003</v>
      </c>
      <c r="N38" s="18">
        <v>0.5</v>
      </c>
      <c r="O38" s="128">
        <v>5999.8</v>
      </c>
      <c r="P38" s="17">
        <v>0</v>
      </c>
      <c r="Q38" s="17">
        <v>0</v>
      </c>
      <c r="R38" s="17">
        <v>0</v>
      </c>
      <c r="S38" s="128">
        <f t="shared" si="0"/>
        <v>0</v>
      </c>
      <c r="T38" s="17">
        <f t="shared" si="2"/>
        <v>0</v>
      </c>
      <c r="U38" s="17">
        <f t="shared" si="3"/>
        <v>5999.8</v>
      </c>
      <c r="V38" s="57">
        <f t="shared" si="4"/>
        <v>0</v>
      </c>
      <c r="W38" s="78"/>
      <c r="X38" s="75">
        <f t="shared" si="5"/>
        <v>-5999.8</v>
      </c>
      <c r="Y38" s="15"/>
    </row>
    <row r="39" spans="1:25" x14ac:dyDescent="0.25">
      <c r="A39" s="153">
        <v>46</v>
      </c>
      <c r="B39" s="22" t="s">
        <v>339</v>
      </c>
      <c r="C39" s="222" t="s">
        <v>688</v>
      </c>
      <c r="D39" s="7" t="s">
        <v>192</v>
      </c>
      <c r="E39" s="7">
        <v>1</v>
      </c>
      <c r="F39" s="128">
        <v>0</v>
      </c>
      <c r="G39" s="7"/>
      <c r="H39" s="7"/>
      <c r="I39" s="7"/>
      <c r="J39" s="5"/>
      <c r="K39" s="128">
        <f t="shared" si="1"/>
        <v>0</v>
      </c>
      <c r="L39" s="7">
        <v>12</v>
      </c>
      <c r="M39" s="80">
        <v>0.59450000000000003</v>
      </c>
      <c r="N39" s="18">
        <v>0.5</v>
      </c>
      <c r="O39" s="128">
        <v>7877.24</v>
      </c>
      <c r="P39" s="17">
        <v>0</v>
      </c>
      <c r="Q39" s="17">
        <v>0</v>
      </c>
      <c r="R39" s="17">
        <v>0</v>
      </c>
      <c r="S39" s="128">
        <f t="shared" si="0"/>
        <v>0</v>
      </c>
      <c r="T39" s="17">
        <f t="shared" si="2"/>
        <v>0</v>
      </c>
      <c r="U39" s="17">
        <f t="shared" si="3"/>
        <v>7877.24</v>
      </c>
      <c r="V39" s="57">
        <f t="shared" si="4"/>
        <v>0</v>
      </c>
      <c r="W39" s="78"/>
      <c r="X39" s="75">
        <f t="shared" si="5"/>
        <v>-7877.24</v>
      </c>
      <c r="Y39" s="15"/>
    </row>
    <row r="40" spans="1:25" x14ac:dyDescent="0.25">
      <c r="A40" s="153">
        <v>47</v>
      </c>
      <c r="B40" s="22" t="s">
        <v>339</v>
      </c>
      <c r="C40" s="222" t="s">
        <v>689</v>
      </c>
      <c r="D40" s="7" t="s">
        <v>193</v>
      </c>
      <c r="E40" s="7">
        <v>2</v>
      </c>
      <c r="F40" s="128">
        <v>0</v>
      </c>
      <c r="G40" s="7"/>
      <c r="H40" s="7"/>
      <c r="I40" s="7"/>
      <c r="J40" s="5"/>
      <c r="K40" s="128">
        <f>+F40+H40</f>
        <v>0</v>
      </c>
      <c r="L40" s="7">
        <v>12</v>
      </c>
      <c r="M40" s="80">
        <v>0.59450000000000003</v>
      </c>
      <c r="N40" s="18">
        <v>0.5</v>
      </c>
      <c r="O40" s="128">
        <v>14897.92</v>
      </c>
      <c r="P40" s="17">
        <v>0</v>
      </c>
      <c r="Q40" s="17">
        <v>0</v>
      </c>
      <c r="R40" s="17">
        <v>0</v>
      </c>
      <c r="S40" s="128">
        <f t="shared" si="0"/>
        <v>0</v>
      </c>
      <c r="T40" s="17">
        <f t="shared" si="2"/>
        <v>0</v>
      </c>
      <c r="U40" s="17">
        <f t="shared" si="3"/>
        <v>14897.92</v>
      </c>
      <c r="V40" s="57">
        <f t="shared" si="4"/>
        <v>0</v>
      </c>
      <c r="W40" s="78"/>
      <c r="X40" s="75">
        <f t="shared" si="5"/>
        <v>-14897.92</v>
      </c>
      <c r="Y40" s="15"/>
    </row>
    <row r="41" spans="1:25" x14ac:dyDescent="0.25">
      <c r="A41" s="153">
        <v>48</v>
      </c>
      <c r="B41" s="22" t="s">
        <v>339</v>
      </c>
      <c r="C41" s="222" t="s">
        <v>690</v>
      </c>
      <c r="D41" s="7" t="s">
        <v>194</v>
      </c>
      <c r="E41" s="7">
        <v>1</v>
      </c>
      <c r="F41" s="128">
        <v>0</v>
      </c>
      <c r="G41" s="7"/>
      <c r="H41" s="7"/>
      <c r="I41" s="7"/>
      <c r="J41" s="5"/>
      <c r="K41" s="128">
        <f t="shared" si="1"/>
        <v>0</v>
      </c>
      <c r="L41" s="7">
        <v>12</v>
      </c>
      <c r="M41" s="80">
        <v>0.59450000000000003</v>
      </c>
      <c r="N41" s="18">
        <v>0.5</v>
      </c>
      <c r="O41" s="128">
        <v>7448.96</v>
      </c>
      <c r="P41" s="17">
        <v>0</v>
      </c>
      <c r="Q41" s="17">
        <v>0</v>
      </c>
      <c r="R41" s="17">
        <v>0</v>
      </c>
      <c r="S41" s="128">
        <f t="shared" si="0"/>
        <v>0</v>
      </c>
      <c r="T41" s="17">
        <f t="shared" si="2"/>
        <v>0</v>
      </c>
      <c r="U41" s="17">
        <f t="shared" si="3"/>
        <v>7448.96</v>
      </c>
      <c r="V41" s="57">
        <f t="shared" si="4"/>
        <v>0</v>
      </c>
      <c r="W41" s="78"/>
      <c r="X41" s="75">
        <f t="shared" si="5"/>
        <v>-7448.96</v>
      </c>
      <c r="Y41" s="15"/>
    </row>
    <row r="42" spans="1:25" x14ac:dyDescent="0.25">
      <c r="A42" s="153">
        <v>49</v>
      </c>
      <c r="B42" s="22" t="s">
        <v>339</v>
      </c>
      <c r="C42" s="222" t="s">
        <v>691</v>
      </c>
      <c r="D42" s="7" t="s">
        <v>188</v>
      </c>
      <c r="E42" s="7">
        <v>2</v>
      </c>
      <c r="F42" s="128">
        <v>0</v>
      </c>
      <c r="G42" s="7"/>
      <c r="H42" s="7"/>
      <c r="I42" s="7"/>
      <c r="J42" s="5"/>
      <c r="K42" s="128">
        <f t="shared" si="1"/>
        <v>0</v>
      </c>
      <c r="L42" s="7">
        <v>12</v>
      </c>
      <c r="M42" s="80">
        <v>0.59450000000000003</v>
      </c>
      <c r="N42" s="18">
        <v>0.5</v>
      </c>
      <c r="O42" s="128">
        <v>18057.57</v>
      </c>
      <c r="P42" s="17">
        <v>0</v>
      </c>
      <c r="Q42" s="17">
        <v>0</v>
      </c>
      <c r="R42" s="17">
        <v>0</v>
      </c>
      <c r="S42" s="128">
        <v>0</v>
      </c>
      <c r="T42" s="17">
        <f t="shared" si="2"/>
        <v>0</v>
      </c>
      <c r="U42" s="17">
        <f t="shared" si="3"/>
        <v>18057.57</v>
      </c>
      <c r="V42" s="57">
        <f t="shared" si="4"/>
        <v>0</v>
      </c>
      <c r="W42" s="78"/>
      <c r="X42" s="75">
        <f t="shared" si="5"/>
        <v>-18057.57</v>
      </c>
      <c r="Y42" s="15"/>
    </row>
    <row r="43" spans="1:25" x14ac:dyDescent="0.25">
      <c r="A43" s="153">
        <v>50</v>
      </c>
      <c r="B43" s="22" t="s">
        <v>339</v>
      </c>
      <c r="C43" s="222" t="s">
        <v>692</v>
      </c>
      <c r="D43" s="7" t="s">
        <v>195</v>
      </c>
      <c r="E43" s="7">
        <v>4</v>
      </c>
      <c r="F43" s="128">
        <v>0</v>
      </c>
      <c r="G43" s="7"/>
      <c r="H43" s="7"/>
      <c r="I43" s="7"/>
      <c r="J43" s="5"/>
      <c r="K43" s="128">
        <f t="shared" si="1"/>
        <v>0</v>
      </c>
      <c r="L43" s="7">
        <v>12</v>
      </c>
      <c r="M43" s="80">
        <v>0.59450000000000003</v>
      </c>
      <c r="N43" s="18">
        <v>0.5</v>
      </c>
      <c r="O43" s="128">
        <v>24832</v>
      </c>
      <c r="P43" s="17">
        <v>0</v>
      </c>
      <c r="Q43" s="17">
        <v>0</v>
      </c>
      <c r="R43" s="17">
        <v>0</v>
      </c>
      <c r="S43" s="128">
        <f t="shared" si="0"/>
        <v>0</v>
      </c>
      <c r="T43" s="17">
        <f t="shared" si="2"/>
        <v>0</v>
      </c>
      <c r="U43" s="17">
        <f t="shared" si="3"/>
        <v>24832</v>
      </c>
      <c r="V43" s="57">
        <f t="shared" si="4"/>
        <v>0</v>
      </c>
      <c r="W43" s="78"/>
      <c r="X43" s="75">
        <f t="shared" si="5"/>
        <v>-24832</v>
      </c>
      <c r="Y43" s="15"/>
    </row>
    <row r="44" spans="1:25" x14ac:dyDescent="0.25">
      <c r="A44" s="153">
        <v>51</v>
      </c>
      <c r="B44" s="22" t="s">
        <v>339</v>
      </c>
      <c r="C44" s="222" t="s">
        <v>693</v>
      </c>
      <c r="D44" s="7" t="s">
        <v>173</v>
      </c>
      <c r="E44" s="7">
        <v>1</v>
      </c>
      <c r="F44" s="128">
        <v>0</v>
      </c>
      <c r="G44" s="7"/>
      <c r="H44" s="7"/>
      <c r="I44" s="7"/>
      <c r="J44" s="5"/>
      <c r="K44" s="128">
        <f t="shared" si="1"/>
        <v>0</v>
      </c>
      <c r="L44" s="7">
        <v>12</v>
      </c>
      <c r="M44" s="80">
        <v>0.05</v>
      </c>
      <c r="N44" s="18">
        <v>0.5</v>
      </c>
      <c r="O44" s="128">
        <v>4147.5</v>
      </c>
      <c r="P44" s="17">
        <v>592.5</v>
      </c>
      <c r="Q44" s="17">
        <v>0</v>
      </c>
      <c r="R44" s="17">
        <v>0</v>
      </c>
      <c r="S44" s="128">
        <f t="shared" si="0"/>
        <v>0</v>
      </c>
      <c r="T44" s="17">
        <f t="shared" si="2"/>
        <v>0</v>
      </c>
      <c r="U44" s="17">
        <f t="shared" si="3"/>
        <v>4740</v>
      </c>
      <c r="V44" s="57">
        <f t="shared" si="4"/>
        <v>0</v>
      </c>
      <c r="W44" s="78"/>
      <c r="X44" s="75">
        <f t="shared" si="5"/>
        <v>-4740</v>
      </c>
      <c r="Y44" s="15"/>
    </row>
    <row r="45" spans="1:25" x14ac:dyDescent="0.25">
      <c r="A45" s="153">
        <v>52</v>
      </c>
      <c r="B45" s="22" t="s">
        <v>339</v>
      </c>
      <c r="C45" s="222" t="s">
        <v>694</v>
      </c>
      <c r="D45" s="7" t="s">
        <v>202</v>
      </c>
      <c r="E45" s="7">
        <v>1</v>
      </c>
      <c r="F45" s="128">
        <v>0</v>
      </c>
      <c r="G45" s="7"/>
      <c r="H45" s="17"/>
      <c r="I45" s="7"/>
      <c r="J45" s="5"/>
      <c r="K45" s="128">
        <f t="shared" si="1"/>
        <v>0</v>
      </c>
      <c r="L45" s="7">
        <v>12</v>
      </c>
      <c r="M45" s="80">
        <v>0.125</v>
      </c>
      <c r="N45" s="18">
        <v>0.5</v>
      </c>
      <c r="O45" s="129">
        <v>36672.53</v>
      </c>
      <c r="P45" s="26">
        <v>36672.519999999997</v>
      </c>
      <c r="Q45" s="26">
        <v>0</v>
      </c>
      <c r="R45" s="26">
        <v>0</v>
      </c>
      <c r="S45" s="128">
        <f t="shared" si="0"/>
        <v>0</v>
      </c>
      <c r="T45" s="17">
        <f t="shared" si="2"/>
        <v>0</v>
      </c>
      <c r="U45" s="17">
        <f t="shared" si="3"/>
        <v>73345.049999999988</v>
      </c>
      <c r="V45" s="57">
        <f t="shared" si="4"/>
        <v>0</v>
      </c>
      <c r="W45" s="78">
        <f t="shared" ref="W45:W46" si="6">+S45*9</f>
        <v>0</v>
      </c>
      <c r="X45" s="75">
        <f t="shared" si="5"/>
        <v>-73345.049999999988</v>
      </c>
      <c r="Y45" s="15"/>
    </row>
    <row r="46" spans="1:25" x14ac:dyDescent="0.25">
      <c r="A46" s="153">
        <v>53</v>
      </c>
      <c r="B46" s="22" t="s">
        <v>339</v>
      </c>
      <c r="C46" s="222" t="s">
        <v>695</v>
      </c>
      <c r="D46" s="7" t="s">
        <v>203</v>
      </c>
      <c r="E46" s="7">
        <v>1</v>
      </c>
      <c r="F46" s="128">
        <v>1616.67</v>
      </c>
      <c r="G46" s="7"/>
      <c r="H46" s="17"/>
      <c r="I46" s="7"/>
      <c r="J46" s="5"/>
      <c r="K46" s="128">
        <f t="shared" si="1"/>
        <v>1616.67</v>
      </c>
      <c r="L46" s="7">
        <v>12</v>
      </c>
      <c r="M46" s="80">
        <v>0.59450000000000003</v>
      </c>
      <c r="N46" s="18">
        <v>0.5</v>
      </c>
      <c r="O46" s="129">
        <v>323.33</v>
      </c>
      <c r="P46" s="26">
        <v>1940</v>
      </c>
      <c r="Q46" s="26">
        <v>485</v>
      </c>
      <c r="R46" s="26">
        <v>961.11031500000013</v>
      </c>
      <c r="S46" s="128">
        <f t="shared" si="0"/>
        <v>14.213333333333333</v>
      </c>
      <c r="T46" s="17">
        <v>170.56</v>
      </c>
      <c r="U46" s="17">
        <f t="shared" si="3"/>
        <v>2918.89</v>
      </c>
      <c r="V46" s="57">
        <f>+K46-Q46-R46-T46</f>
        <v>-3.1500000005735274E-4</v>
      </c>
      <c r="W46" s="78">
        <f t="shared" si="6"/>
        <v>127.92</v>
      </c>
      <c r="X46" s="75">
        <f t="shared" si="5"/>
        <v>-774.57999999999981</v>
      </c>
      <c r="Y46" s="15"/>
    </row>
    <row r="47" spans="1:25" s="25" customFormat="1" x14ac:dyDescent="0.25">
      <c r="A47" s="153">
        <v>54</v>
      </c>
      <c r="B47" s="22" t="s">
        <v>339</v>
      </c>
      <c r="C47" s="222" t="s">
        <v>696</v>
      </c>
      <c r="D47" s="7" t="s">
        <v>386</v>
      </c>
      <c r="E47" s="99"/>
      <c r="F47" s="128">
        <v>0</v>
      </c>
      <c r="G47" s="7"/>
      <c r="H47" s="7"/>
      <c r="I47" s="7"/>
      <c r="J47" s="5"/>
      <c r="K47" s="128">
        <f t="shared" si="1"/>
        <v>0</v>
      </c>
      <c r="L47" s="7">
        <v>12</v>
      </c>
      <c r="M47" s="80">
        <v>0.125</v>
      </c>
      <c r="N47" s="18">
        <v>0.5</v>
      </c>
      <c r="O47" s="129">
        <v>2125.0500000000002</v>
      </c>
      <c r="P47" s="26">
        <v>1274.95</v>
      </c>
      <c r="Q47" s="26">
        <v>0</v>
      </c>
      <c r="R47" s="26">
        <v>0</v>
      </c>
      <c r="S47" s="128">
        <f>+T47/12</f>
        <v>0</v>
      </c>
      <c r="T47" s="17">
        <f t="shared" si="2"/>
        <v>0</v>
      </c>
      <c r="U47" s="17">
        <f t="shared" si="3"/>
        <v>3400</v>
      </c>
      <c r="V47" s="57">
        <f t="shared" ref="V47:V51" si="7">+K47-Q47-R47-T47</f>
        <v>0</v>
      </c>
      <c r="W47" s="102">
        <f t="shared" ref="W47" si="8">+S47*9</f>
        <v>0</v>
      </c>
      <c r="X47" s="103">
        <f t="shared" ref="X47" si="9">+K47-O47-P47-U47</f>
        <v>-6800</v>
      </c>
    </row>
    <row r="48" spans="1:25" s="25" customFormat="1" x14ac:dyDescent="0.25">
      <c r="A48" s="227">
        <v>55</v>
      </c>
      <c r="B48" s="167" t="s">
        <v>339</v>
      </c>
      <c r="C48" s="223" t="s">
        <v>697</v>
      </c>
      <c r="D48" s="168" t="s">
        <v>340</v>
      </c>
      <c r="E48" s="149"/>
      <c r="F48" s="129">
        <v>664860.76</v>
      </c>
      <c r="G48" s="149"/>
      <c r="H48" s="149"/>
      <c r="I48" s="149"/>
      <c r="J48" s="229"/>
      <c r="K48" s="129">
        <f>+F48+H48</f>
        <v>664860.76</v>
      </c>
      <c r="L48" s="149">
        <v>11</v>
      </c>
      <c r="M48" s="247">
        <v>0.05</v>
      </c>
      <c r="N48" s="151"/>
      <c r="O48" s="26"/>
      <c r="P48" s="26"/>
      <c r="Q48" s="26"/>
      <c r="R48" s="26">
        <v>30472.784833333335</v>
      </c>
      <c r="S48" s="129">
        <f>+T48/11</f>
        <v>3022.0943636363636</v>
      </c>
      <c r="T48" s="26">
        <f>+(K48*M48)</f>
        <v>33243.038</v>
      </c>
      <c r="U48" s="26">
        <f>+O48+P48+Q48+T48</f>
        <v>33243.038</v>
      </c>
      <c r="V48" s="57">
        <f t="shared" si="7"/>
        <v>601144.93716666661</v>
      </c>
      <c r="W48" s="102"/>
      <c r="X48" s="103"/>
    </row>
    <row r="49" spans="1:24" s="25" customFormat="1" x14ac:dyDescent="0.25">
      <c r="A49" s="227">
        <v>56</v>
      </c>
      <c r="B49" s="167" t="s">
        <v>339</v>
      </c>
      <c r="C49" s="223" t="s">
        <v>697</v>
      </c>
      <c r="D49" s="168" t="s">
        <v>340</v>
      </c>
      <c r="E49" s="149"/>
      <c r="F49" s="129">
        <v>0</v>
      </c>
      <c r="G49" s="149"/>
      <c r="H49" s="129">
        <f>156536.22+354508.93</f>
        <v>511045.15</v>
      </c>
      <c r="I49" s="149"/>
      <c r="J49" s="229"/>
      <c r="K49" s="129">
        <f>+F49+H49</f>
        <v>511045.15</v>
      </c>
      <c r="L49" s="149">
        <v>11</v>
      </c>
      <c r="M49" s="247">
        <v>0.05</v>
      </c>
      <c r="N49" s="151"/>
      <c r="O49" s="26"/>
      <c r="P49" s="26"/>
      <c r="Q49" s="26"/>
      <c r="R49" s="26">
        <v>23422.902708333339</v>
      </c>
      <c r="S49" s="129">
        <f>+T49/11</f>
        <v>2322.9325000000003</v>
      </c>
      <c r="T49" s="26">
        <f>+(K49*M49)</f>
        <v>25552.257500000003</v>
      </c>
      <c r="U49" s="26">
        <f>+O49+P49+Q49+T49</f>
        <v>25552.257500000003</v>
      </c>
      <c r="V49" s="57">
        <f t="shared" si="7"/>
        <v>462069.98979166668</v>
      </c>
      <c r="W49" s="102"/>
      <c r="X49" s="103"/>
    </row>
    <row r="50" spans="1:24" s="25" customFormat="1" x14ac:dyDescent="0.25">
      <c r="A50" s="227">
        <v>57</v>
      </c>
      <c r="B50" s="167" t="s">
        <v>339</v>
      </c>
      <c r="C50" s="249" t="s">
        <v>853</v>
      </c>
      <c r="D50" s="149" t="s">
        <v>445</v>
      </c>
      <c r="E50" s="149"/>
      <c r="F50" s="129">
        <v>0</v>
      </c>
      <c r="G50" s="149"/>
      <c r="H50" s="129">
        <v>26283.4</v>
      </c>
      <c r="I50" s="149"/>
      <c r="J50" s="229"/>
      <c r="K50" s="129">
        <f>+F50+H50</f>
        <v>26283.4</v>
      </c>
      <c r="L50" s="149">
        <v>5</v>
      </c>
      <c r="M50" s="247">
        <v>0.05</v>
      </c>
      <c r="N50" s="151"/>
      <c r="O50" s="26"/>
      <c r="P50" s="26"/>
      <c r="Q50" s="26"/>
      <c r="R50" s="26">
        <v>547.57083333333333</v>
      </c>
      <c r="S50" s="129">
        <f>+T50/5</f>
        <v>262.834</v>
      </c>
      <c r="T50" s="26">
        <f>+(K50*M50)</f>
        <v>1314.17</v>
      </c>
      <c r="U50" s="26">
        <f>+O50+P50+Q50+T50</f>
        <v>1314.17</v>
      </c>
      <c r="V50" s="57">
        <f t="shared" si="7"/>
        <v>24421.659166666665</v>
      </c>
      <c r="W50" s="102"/>
      <c r="X50" s="103"/>
    </row>
    <row r="51" spans="1:24" s="25" customFormat="1" x14ac:dyDescent="0.25">
      <c r="A51" s="227">
        <v>58</v>
      </c>
      <c r="B51" s="167" t="s">
        <v>339</v>
      </c>
      <c r="C51" s="249" t="s">
        <v>854</v>
      </c>
      <c r="D51" s="149" t="s">
        <v>521</v>
      </c>
      <c r="E51" s="149"/>
      <c r="F51" s="129"/>
      <c r="G51" s="149"/>
      <c r="H51" s="129">
        <v>4317.6000000000004</v>
      </c>
      <c r="I51" s="149"/>
      <c r="J51" s="229"/>
      <c r="K51" s="129">
        <f>+F51+H51</f>
        <v>4317.6000000000004</v>
      </c>
      <c r="L51" s="149">
        <v>4</v>
      </c>
      <c r="M51" s="247">
        <v>0.05</v>
      </c>
      <c r="N51" s="151"/>
      <c r="O51" s="26"/>
      <c r="P51" s="26"/>
      <c r="Q51" s="26"/>
      <c r="R51" s="26">
        <v>71.960000000000008</v>
      </c>
      <c r="S51" s="129">
        <f>+T51/4</f>
        <v>53.970000000000006</v>
      </c>
      <c r="T51" s="26">
        <f>+(K51*M51)</f>
        <v>215.88000000000002</v>
      </c>
      <c r="U51" s="26">
        <f>+O51+P51+Q51+T51</f>
        <v>215.88000000000002</v>
      </c>
      <c r="V51" s="57">
        <f t="shared" si="7"/>
        <v>4029.76</v>
      </c>
      <c r="W51" s="106"/>
      <c r="X51" s="171"/>
    </row>
    <row r="52" spans="1:24" s="25" customFormat="1" ht="15.75" thickBot="1" x14ac:dyDescent="0.3">
      <c r="A52" s="244"/>
      <c r="B52" s="167"/>
      <c r="C52" s="220"/>
      <c r="D52" s="168"/>
      <c r="E52" s="149"/>
      <c r="F52" s="129"/>
      <c r="G52" s="149"/>
      <c r="H52" s="129"/>
      <c r="I52" s="149"/>
      <c r="J52" s="229"/>
      <c r="K52" s="129"/>
      <c r="L52" s="149"/>
      <c r="M52" s="247"/>
      <c r="N52" s="151"/>
      <c r="O52" s="26"/>
      <c r="P52" s="26"/>
      <c r="Q52" s="26"/>
      <c r="R52" s="26"/>
      <c r="S52" s="129"/>
      <c r="T52" s="26"/>
      <c r="U52" s="26"/>
      <c r="V52" s="248"/>
      <c r="W52" s="106"/>
      <c r="X52" s="171"/>
    </row>
    <row r="53" spans="1:24" ht="16.5" thickTop="1" thickBot="1" x14ac:dyDescent="0.3">
      <c r="A53" s="298" t="s">
        <v>12</v>
      </c>
      <c r="B53" s="298"/>
      <c r="C53" s="298"/>
      <c r="D53" s="298"/>
      <c r="E53" s="298"/>
      <c r="F53" s="117">
        <f>SUM(F10:F50)</f>
        <v>667651.72</v>
      </c>
      <c r="G53" s="117">
        <f>SUM(G10:G50)</f>
        <v>0</v>
      </c>
      <c r="H53" s="117">
        <f>SUM(H10:H52)</f>
        <v>541646.15</v>
      </c>
      <c r="I53" s="117">
        <f>SUM(I10:I50)</f>
        <v>0</v>
      </c>
      <c r="J53" s="117">
        <f>SUM(J10:J50)</f>
        <v>0</v>
      </c>
      <c r="K53" s="124">
        <f>+F53+H53</f>
        <v>1209297.8700000001</v>
      </c>
      <c r="L53" s="118">
        <v>0</v>
      </c>
      <c r="M53" s="118">
        <v>0</v>
      </c>
      <c r="N53" s="118">
        <v>0</v>
      </c>
      <c r="O53" s="117">
        <f t="shared" ref="O53:X53" si="10">SUM(O10:O50)</f>
        <v>347091.66999999993</v>
      </c>
      <c r="P53" s="117">
        <f t="shared" si="10"/>
        <v>46353.469999999994</v>
      </c>
      <c r="Q53" s="117">
        <f>SUM(Q10:Q50)</f>
        <v>1659.29</v>
      </c>
      <c r="R53" s="117">
        <f>SUM(R10:R52)</f>
        <v>55535.043190000004</v>
      </c>
      <c r="S53" s="117">
        <f t="shared" si="10"/>
        <v>5622.0741969696965</v>
      </c>
      <c r="T53" s="124">
        <f>SUM(T10:T52)</f>
        <v>60495.905500000001</v>
      </c>
      <c r="U53" s="124">
        <f t="shared" si="10"/>
        <v>455384.45549999998</v>
      </c>
      <c r="V53" s="124">
        <f t="shared" si="10"/>
        <v>1087636.5858100001</v>
      </c>
      <c r="W53" s="117">
        <f t="shared" si="10"/>
        <v>127.92</v>
      </c>
      <c r="X53" s="117">
        <f t="shared" si="10"/>
        <v>-258305.38999999998</v>
      </c>
    </row>
    <row r="54" spans="1:24" ht="16.5" thickTop="1" thickBot="1" x14ac:dyDescent="0.3">
      <c r="A54" s="296" t="s">
        <v>342</v>
      </c>
      <c r="B54" s="297"/>
      <c r="C54" s="297"/>
      <c r="D54" s="297"/>
      <c r="E54" s="297"/>
      <c r="F54" s="121">
        <f>+F53</f>
        <v>667651.72</v>
      </c>
      <c r="G54" s="121"/>
      <c r="H54" s="121">
        <f>+H53</f>
        <v>541646.15</v>
      </c>
      <c r="I54" s="121"/>
      <c r="J54" s="121"/>
      <c r="K54" s="121">
        <f>+F54+H54</f>
        <v>1209297.8700000001</v>
      </c>
      <c r="L54" s="119"/>
      <c r="M54" s="119"/>
      <c r="N54" s="119"/>
      <c r="O54" s="121">
        <f>+O53</f>
        <v>347091.66999999993</v>
      </c>
      <c r="P54" s="121">
        <f>+P53</f>
        <v>46353.469999999994</v>
      </c>
      <c r="Q54" s="121"/>
      <c r="R54" s="121"/>
      <c r="S54" s="121"/>
      <c r="T54" s="121"/>
      <c r="U54" s="121">
        <f>+U53</f>
        <v>455384.45549999998</v>
      </c>
      <c r="V54" s="120">
        <f>+V53</f>
        <v>1087636.5858100001</v>
      </c>
    </row>
    <row r="55" spans="1:24" ht="16.5" thickTop="1" thickBot="1" x14ac:dyDescent="0.3">
      <c r="A55" s="293" t="s">
        <v>291</v>
      </c>
      <c r="B55" s="294"/>
      <c r="C55" s="294"/>
      <c r="D55" s="294"/>
      <c r="E55" s="295"/>
      <c r="F55" s="116">
        <f>+F53-F54</f>
        <v>0</v>
      </c>
      <c r="G55" s="122"/>
      <c r="H55" s="123">
        <f>+H53-H54</f>
        <v>0</v>
      </c>
      <c r="I55" s="122"/>
      <c r="J55" s="122"/>
      <c r="K55" s="116">
        <f>+K53-K54</f>
        <v>0</v>
      </c>
      <c r="L55" s="288"/>
      <c r="M55" s="289"/>
      <c r="N55" s="290"/>
      <c r="O55" s="116">
        <f>+O53-O54</f>
        <v>0</v>
      </c>
      <c r="P55" s="116">
        <f>+P53-P54</f>
        <v>0</v>
      </c>
      <c r="Q55" s="116"/>
      <c r="R55" s="116"/>
      <c r="S55" s="122"/>
      <c r="T55" s="122"/>
      <c r="U55" s="116">
        <f>+U53-U54</f>
        <v>0</v>
      </c>
      <c r="V55" s="116">
        <f>+V53-V54</f>
        <v>0</v>
      </c>
      <c r="X55" s="15"/>
    </row>
    <row r="56" spans="1:24" ht="15.75" thickTop="1" x14ac:dyDescent="0.25">
      <c r="A56" s="69"/>
      <c r="P56" s="15"/>
      <c r="Q56" s="15"/>
      <c r="R56" s="15"/>
      <c r="V56" s="15"/>
    </row>
    <row r="57" spans="1:24" hidden="1" x14ac:dyDescent="0.25">
      <c r="H57" s="15"/>
      <c r="P57" s="15"/>
      <c r="Q57" s="15"/>
      <c r="R57" s="15"/>
      <c r="S57" s="15"/>
      <c r="V57" s="15"/>
    </row>
    <row r="58" spans="1:24" hidden="1" x14ac:dyDescent="0.25">
      <c r="E58" s="125" t="s">
        <v>451</v>
      </c>
      <c r="H58" s="15"/>
      <c r="V58" s="15"/>
    </row>
    <row r="59" spans="1:24" hidden="1" x14ac:dyDescent="0.25">
      <c r="D59" s="65" t="s">
        <v>339</v>
      </c>
      <c r="E59" s="15">
        <v>1598425.39</v>
      </c>
      <c r="F59" s="65"/>
      <c r="P59" s="15"/>
      <c r="Q59" s="15"/>
      <c r="R59" s="15"/>
    </row>
    <row r="60" spans="1:24" hidden="1" x14ac:dyDescent="0.25">
      <c r="D60" s="65" t="s">
        <v>462</v>
      </c>
      <c r="E60" s="15">
        <v>395104.43</v>
      </c>
      <c r="F60" s="65"/>
      <c r="O60" s="15"/>
      <c r="P60" s="15"/>
      <c r="Q60" s="15"/>
      <c r="R60" s="15"/>
      <c r="T60" s="15"/>
    </row>
    <row r="61" spans="1:24" hidden="1" x14ac:dyDescent="0.25">
      <c r="D61" s="179" t="s">
        <v>457</v>
      </c>
      <c r="E61" s="15">
        <f>+T53</f>
        <v>60495.905500000001</v>
      </c>
      <c r="F61" s="179"/>
      <c r="O61" s="15"/>
      <c r="P61" s="15"/>
      <c r="Q61" s="15"/>
      <c r="R61" s="15"/>
    </row>
    <row r="62" spans="1:24" hidden="1" x14ac:dyDescent="0.25">
      <c r="D62" s="186" t="s">
        <v>454</v>
      </c>
      <c r="E62" s="143">
        <f>+E59-E60-E61-V53</f>
        <v>55188.468689999776</v>
      </c>
      <c r="F62" s="141"/>
      <c r="O62" s="148"/>
      <c r="P62" s="148"/>
      <c r="Q62" s="148"/>
      <c r="R62" s="148"/>
    </row>
    <row r="63" spans="1:24" hidden="1" x14ac:dyDescent="0.25">
      <c r="D63" s="179"/>
      <c r="E63" s="15"/>
      <c r="G63" s="15"/>
    </row>
    <row r="64" spans="1:24" hidden="1" x14ac:dyDescent="0.25"/>
    <row r="65" spans="19:21" hidden="1" x14ac:dyDescent="0.25"/>
    <row r="66" spans="19:21" x14ac:dyDescent="0.25">
      <c r="S66" s="15"/>
    </row>
    <row r="67" spans="19:21" x14ac:dyDescent="0.25">
      <c r="S67" s="15"/>
      <c r="U67" s="15"/>
    </row>
  </sheetData>
  <mergeCells count="29">
    <mergeCell ref="A53:E53"/>
    <mergeCell ref="A54:E54"/>
    <mergeCell ref="A55:E55"/>
    <mergeCell ref="L55:N55"/>
    <mergeCell ref="W6:W8"/>
    <mergeCell ref="Q7:Q8"/>
    <mergeCell ref="C6:C8"/>
    <mergeCell ref="X6:X8"/>
    <mergeCell ref="J6:J8"/>
    <mergeCell ref="K6:K8"/>
    <mergeCell ref="L6:L8"/>
    <mergeCell ref="M6:N7"/>
    <mergeCell ref="O6:U6"/>
    <mergeCell ref="O7:O8"/>
    <mergeCell ref="U7:U8"/>
    <mergeCell ref="S7:S8"/>
    <mergeCell ref="T7:T8"/>
    <mergeCell ref="P7:P8"/>
    <mergeCell ref="A3:V3"/>
    <mergeCell ref="A4:V4"/>
    <mergeCell ref="A6:A8"/>
    <mergeCell ref="B6:B8"/>
    <mergeCell ref="D6:D8"/>
    <mergeCell ref="E6:E8"/>
    <mergeCell ref="F6:F8"/>
    <mergeCell ref="G6:H7"/>
    <mergeCell ref="I6:I8"/>
    <mergeCell ref="V6:V8"/>
    <mergeCell ref="R7:R8"/>
  </mergeCells>
  <pageMargins left="0.25" right="0.25" top="0.75" bottom="0.75" header="0.3" footer="0.3"/>
  <pageSetup paperSize="9" scale="50" fitToHeight="0" orientation="landscape" r:id="rId1"/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Z54"/>
  <sheetViews>
    <sheetView topLeftCell="D13" zoomScaleNormal="100" workbookViewId="0">
      <selection activeCell="S55" sqref="S55"/>
    </sheetView>
  </sheetViews>
  <sheetFormatPr defaultColWidth="9.140625" defaultRowHeight="15" x14ac:dyDescent="0.25"/>
  <cols>
    <col min="1" max="1" width="5.7109375" style="2" customWidth="1"/>
    <col min="2" max="2" width="7.28515625" style="2" customWidth="1"/>
    <col min="3" max="3" width="15" style="2" bestFit="1" customWidth="1"/>
    <col min="4" max="4" width="25.5703125" style="2" bestFit="1" customWidth="1"/>
    <col min="5" max="5" width="27.5703125" style="2" bestFit="1" customWidth="1"/>
    <col min="6" max="6" width="18.140625" style="2" customWidth="1"/>
    <col min="7" max="7" width="8.42578125" style="2" customWidth="1"/>
    <col min="8" max="8" width="12" style="2" bestFit="1" customWidth="1"/>
    <col min="9" max="10" width="7.42578125" style="2" customWidth="1"/>
    <col min="11" max="11" width="14.42578125" style="2" customWidth="1"/>
    <col min="12" max="12" width="11.28515625" style="2" customWidth="1"/>
    <col min="13" max="13" width="8.42578125" style="2" customWidth="1"/>
    <col min="14" max="14" width="8.140625" style="2" customWidth="1"/>
    <col min="15" max="16" width="13.7109375" style="2" bestFit="1" customWidth="1"/>
    <col min="17" max="19" width="13.7109375" style="2" customWidth="1"/>
    <col min="20" max="20" width="12.28515625" style="2" customWidth="1"/>
    <col min="21" max="21" width="13.7109375" style="2" bestFit="1" customWidth="1"/>
    <col min="22" max="22" width="17" style="2" bestFit="1" customWidth="1"/>
    <col min="23" max="23" width="12.5703125" style="2" hidden="1" customWidth="1"/>
    <col min="24" max="24" width="15.85546875" style="2" hidden="1" customWidth="1"/>
    <col min="25" max="26" width="10.85546875" style="2" bestFit="1" customWidth="1"/>
    <col min="27" max="16384" width="9.140625" style="2"/>
  </cols>
  <sheetData>
    <row r="1" spans="1:24" x14ac:dyDescent="0.25">
      <c r="A1" s="113" t="s">
        <v>359</v>
      </c>
    </row>
    <row r="3" spans="1:24" x14ac:dyDescent="0.25">
      <c r="A3" s="299" t="s">
        <v>864</v>
      </c>
      <c r="B3" s="299"/>
      <c r="C3" s="299"/>
      <c r="D3" s="299"/>
      <c r="E3" s="299"/>
      <c r="F3" s="299"/>
      <c r="G3" s="299"/>
      <c r="H3" s="299"/>
      <c r="I3" s="299"/>
      <c r="J3" s="299"/>
      <c r="K3" s="299"/>
      <c r="L3" s="299"/>
      <c r="M3" s="299"/>
      <c r="N3" s="299"/>
      <c r="O3" s="299"/>
      <c r="P3" s="299"/>
      <c r="Q3" s="299"/>
      <c r="R3" s="299"/>
      <c r="S3" s="299"/>
      <c r="T3" s="299"/>
      <c r="U3" s="299"/>
      <c r="V3" s="299"/>
    </row>
    <row r="4" spans="1:24" x14ac:dyDescent="0.25">
      <c r="A4" s="300" t="s">
        <v>26</v>
      </c>
      <c r="B4" s="300"/>
      <c r="C4" s="300"/>
      <c r="D4" s="300"/>
      <c r="E4" s="300"/>
      <c r="F4" s="300"/>
      <c r="G4" s="300"/>
      <c r="H4" s="300"/>
      <c r="I4" s="300"/>
      <c r="J4" s="300"/>
      <c r="K4" s="300"/>
      <c r="L4" s="300"/>
      <c r="M4" s="300"/>
      <c r="N4" s="300"/>
      <c r="O4" s="300"/>
      <c r="P4" s="300"/>
      <c r="Q4" s="300"/>
      <c r="R4" s="300"/>
      <c r="S4" s="300"/>
      <c r="T4" s="300"/>
      <c r="U4" s="300"/>
      <c r="V4" s="300"/>
    </row>
    <row r="5" spans="1:24" x14ac:dyDescent="0.25">
      <c r="A5" s="3"/>
      <c r="B5" s="3"/>
      <c r="C5" s="219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155"/>
      <c r="R5" s="268"/>
      <c r="S5" s="3"/>
      <c r="T5" s="3"/>
      <c r="U5" s="3"/>
      <c r="V5" s="3"/>
    </row>
    <row r="6" spans="1:24" ht="15.75" thickBot="1" x14ac:dyDescent="0.3">
      <c r="A6" s="3"/>
      <c r="B6" s="3"/>
      <c r="C6" s="219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155"/>
      <c r="R6" s="268"/>
      <c r="S6" s="3"/>
      <c r="T6" s="3"/>
      <c r="U6" s="3"/>
      <c r="V6" s="3"/>
    </row>
    <row r="7" spans="1:24" ht="16.5" customHeight="1" thickTop="1" thickBot="1" x14ac:dyDescent="0.3">
      <c r="A7" s="283" t="s">
        <v>0</v>
      </c>
      <c r="B7" s="283" t="s">
        <v>332</v>
      </c>
      <c r="C7" s="283" t="s">
        <v>524</v>
      </c>
      <c r="D7" s="283" t="s">
        <v>1</v>
      </c>
      <c r="E7" s="283" t="s">
        <v>7</v>
      </c>
      <c r="F7" s="283" t="s">
        <v>414</v>
      </c>
      <c r="G7" s="284" t="s">
        <v>523</v>
      </c>
      <c r="H7" s="284"/>
      <c r="I7" s="283" t="s">
        <v>18</v>
      </c>
      <c r="J7" s="283" t="s">
        <v>19</v>
      </c>
      <c r="K7" s="284" t="s">
        <v>408</v>
      </c>
      <c r="L7" s="283" t="s">
        <v>4</v>
      </c>
      <c r="M7" s="283" t="s">
        <v>5</v>
      </c>
      <c r="N7" s="283"/>
      <c r="O7" s="283" t="s">
        <v>8</v>
      </c>
      <c r="P7" s="283"/>
      <c r="Q7" s="283"/>
      <c r="R7" s="283"/>
      <c r="S7" s="283"/>
      <c r="T7" s="283"/>
      <c r="U7" s="283"/>
      <c r="V7" s="285" t="s">
        <v>868</v>
      </c>
      <c r="W7" s="285" t="s">
        <v>260</v>
      </c>
      <c r="X7" s="285" t="s">
        <v>261</v>
      </c>
    </row>
    <row r="8" spans="1:24" ht="25.5" customHeight="1" thickTop="1" thickBot="1" x14ac:dyDescent="0.3">
      <c r="A8" s="283"/>
      <c r="B8" s="283"/>
      <c r="C8" s="283"/>
      <c r="D8" s="283"/>
      <c r="E8" s="283"/>
      <c r="F8" s="283"/>
      <c r="G8" s="284"/>
      <c r="H8" s="284"/>
      <c r="I8" s="283"/>
      <c r="J8" s="283"/>
      <c r="K8" s="284"/>
      <c r="L8" s="283"/>
      <c r="M8" s="283"/>
      <c r="N8" s="283"/>
      <c r="O8" s="283" t="s">
        <v>6</v>
      </c>
      <c r="P8" s="291" t="s">
        <v>254</v>
      </c>
      <c r="Q8" s="291" t="s">
        <v>410</v>
      </c>
      <c r="R8" s="291" t="s">
        <v>865</v>
      </c>
      <c r="S8" s="285" t="s">
        <v>866</v>
      </c>
      <c r="T8" s="285" t="s">
        <v>867</v>
      </c>
      <c r="U8" s="283" t="s">
        <v>265</v>
      </c>
      <c r="V8" s="286"/>
      <c r="W8" s="286"/>
      <c r="X8" s="286"/>
    </row>
    <row r="9" spans="1:24" ht="34.5" customHeight="1" thickTop="1" thickBot="1" x14ac:dyDescent="0.3">
      <c r="A9" s="283"/>
      <c r="B9" s="283"/>
      <c r="C9" s="283"/>
      <c r="D9" s="283"/>
      <c r="E9" s="283"/>
      <c r="F9" s="283"/>
      <c r="G9" s="154" t="s">
        <v>2</v>
      </c>
      <c r="H9" s="154" t="s">
        <v>3</v>
      </c>
      <c r="I9" s="283"/>
      <c r="J9" s="283"/>
      <c r="K9" s="284"/>
      <c r="L9" s="283"/>
      <c r="M9" s="154" t="s">
        <v>256</v>
      </c>
      <c r="N9" s="154" t="s">
        <v>255</v>
      </c>
      <c r="O9" s="283"/>
      <c r="P9" s="292"/>
      <c r="Q9" s="292"/>
      <c r="R9" s="292"/>
      <c r="S9" s="287"/>
      <c r="T9" s="287"/>
      <c r="U9" s="283"/>
      <c r="V9" s="287"/>
      <c r="W9" s="287"/>
      <c r="X9" s="287"/>
    </row>
    <row r="10" spans="1:24" ht="16.5" thickTop="1" thickBot="1" x14ac:dyDescent="0.3">
      <c r="A10" s="74">
        <v>1</v>
      </c>
      <c r="B10" s="74">
        <v>2</v>
      </c>
      <c r="C10" s="74">
        <v>3</v>
      </c>
      <c r="D10" s="74">
        <v>4</v>
      </c>
      <c r="E10" s="74">
        <v>5</v>
      </c>
      <c r="F10" s="74">
        <v>6</v>
      </c>
      <c r="G10" s="74">
        <v>7</v>
      </c>
      <c r="H10" s="74">
        <v>8</v>
      </c>
      <c r="I10" s="74">
        <v>9</v>
      </c>
      <c r="J10" s="74">
        <v>10</v>
      </c>
      <c r="K10" s="74">
        <v>11</v>
      </c>
      <c r="L10" s="74">
        <v>12</v>
      </c>
      <c r="M10" s="74">
        <v>13</v>
      </c>
      <c r="N10" s="74">
        <v>14</v>
      </c>
      <c r="O10" s="74">
        <v>15</v>
      </c>
      <c r="P10" s="74">
        <v>16</v>
      </c>
      <c r="Q10" s="74">
        <v>17</v>
      </c>
      <c r="R10" s="74">
        <v>18</v>
      </c>
      <c r="S10" s="74">
        <v>19</v>
      </c>
      <c r="T10" s="74">
        <v>20</v>
      </c>
      <c r="U10" s="74">
        <v>21</v>
      </c>
      <c r="V10" s="74">
        <v>22</v>
      </c>
      <c r="W10" s="74">
        <v>20</v>
      </c>
      <c r="X10" s="74">
        <v>21</v>
      </c>
    </row>
    <row r="11" spans="1:24" ht="15.75" thickTop="1" x14ac:dyDescent="0.25">
      <c r="A11" s="174">
        <v>1</v>
      </c>
      <c r="B11" s="12" t="s">
        <v>11</v>
      </c>
      <c r="C11" s="224" t="s">
        <v>698</v>
      </c>
      <c r="D11" s="6" t="s">
        <v>861</v>
      </c>
      <c r="E11" s="6">
        <v>1</v>
      </c>
      <c r="F11" s="14">
        <v>0</v>
      </c>
      <c r="G11" s="6"/>
      <c r="H11" s="6"/>
      <c r="I11" s="6"/>
      <c r="J11" s="4"/>
      <c r="K11" s="16">
        <f>+F11+H11</f>
        <v>0</v>
      </c>
      <c r="L11" s="6">
        <v>12</v>
      </c>
      <c r="M11" s="10">
        <v>0.1691</v>
      </c>
      <c r="N11" s="10">
        <v>0.5</v>
      </c>
      <c r="O11" s="14">
        <v>56000</v>
      </c>
      <c r="P11" s="16">
        <v>0</v>
      </c>
      <c r="Q11" s="16">
        <v>0</v>
      </c>
      <c r="R11" s="16">
        <v>0</v>
      </c>
      <c r="S11" s="16">
        <f>+T11/12</f>
        <v>0</v>
      </c>
      <c r="T11" s="16">
        <v>0</v>
      </c>
      <c r="U11" s="16">
        <f>+O11+P11+Q11+T11</f>
        <v>56000</v>
      </c>
      <c r="V11" s="14">
        <f>+K11-Q11-T11</f>
        <v>0</v>
      </c>
      <c r="W11" s="76">
        <v>0</v>
      </c>
      <c r="X11" s="77">
        <f>+K11-O11-P11-W11</f>
        <v>-56000</v>
      </c>
    </row>
    <row r="12" spans="1:24" x14ac:dyDescent="0.25">
      <c r="A12" s="153">
        <v>2</v>
      </c>
      <c r="B12" s="13" t="s">
        <v>11</v>
      </c>
      <c r="C12" s="225" t="s">
        <v>699</v>
      </c>
      <c r="D12" s="7" t="s">
        <v>13</v>
      </c>
      <c r="E12" s="7">
        <v>1</v>
      </c>
      <c r="F12" s="15">
        <v>0</v>
      </c>
      <c r="G12" s="7"/>
      <c r="H12" s="7"/>
      <c r="I12" s="7"/>
      <c r="J12" s="5"/>
      <c r="K12" s="17">
        <f>+F12+H12</f>
        <v>0</v>
      </c>
      <c r="L12" s="7">
        <v>12</v>
      </c>
      <c r="M12" s="80">
        <v>0.1691</v>
      </c>
      <c r="N12" s="18">
        <v>0.5</v>
      </c>
      <c r="O12" s="15">
        <v>306250</v>
      </c>
      <c r="P12" s="17">
        <v>0</v>
      </c>
      <c r="Q12" s="17">
        <v>0</v>
      </c>
      <c r="R12" s="17">
        <v>0</v>
      </c>
      <c r="S12" s="17">
        <f>+T12/12</f>
        <v>0</v>
      </c>
      <c r="T12" s="17">
        <v>0</v>
      </c>
      <c r="U12" s="17">
        <f>+O12+P12+Q12+T12</f>
        <v>306250</v>
      </c>
      <c r="V12" s="15">
        <f>+K12-Q12-T12</f>
        <v>0</v>
      </c>
      <c r="W12" s="78">
        <v>0</v>
      </c>
      <c r="X12" s="75">
        <f>+K12-O12-P12-W12</f>
        <v>-306250</v>
      </c>
    </row>
    <row r="13" spans="1:24" x14ac:dyDescent="0.25">
      <c r="A13" s="153">
        <v>3</v>
      </c>
      <c r="B13" s="13" t="s">
        <v>11</v>
      </c>
      <c r="C13" s="225" t="s">
        <v>700</v>
      </c>
      <c r="D13" s="7" t="s">
        <v>860</v>
      </c>
      <c r="E13" s="7">
        <v>1</v>
      </c>
      <c r="F13" s="15">
        <v>0</v>
      </c>
      <c r="G13" s="7"/>
      <c r="H13" s="7"/>
      <c r="I13" s="7"/>
      <c r="J13" s="5"/>
      <c r="K13" s="17">
        <f t="shared" ref="K13:K35" si="0">+F13+H13</f>
        <v>0</v>
      </c>
      <c r="L13" s="7">
        <v>12</v>
      </c>
      <c r="M13" s="80">
        <v>0.1691</v>
      </c>
      <c r="N13" s="18">
        <v>0.5</v>
      </c>
      <c r="O13" s="15">
        <v>26959.07</v>
      </c>
      <c r="P13" s="17">
        <v>0</v>
      </c>
      <c r="Q13" s="17">
        <v>0</v>
      </c>
      <c r="R13" s="17">
        <v>0</v>
      </c>
      <c r="S13" s="17">
        <f t="shared" ref="S13:S34" si="1">+T13/12</f>
        <v>0</v>
      </c>
      <c r="T13" s="17">
        <v>0</v>
      </c>
      <c r="U13" s="17">
        <f t="shared" ref="U13:U35" si="2">+O13+P13+Q13+T13</f>
        <v>26959.07</v>
      </c>
      <c r="V13" s="15">
        <f t="shared" ref="V13:V19" si="3">+K13-Q13-T13</f>
        <v>0</v>
      </c>
      <c r="W13" s="78">
        <v>0</v>
      </c>
      <c r="X13" s="75">
        <f t="shared" ref="X13:X35" si="4">+K13-O13-P13-W13</f>
        <v>-26959.07</v>
      </c>
    </row>
    <row r="14" spans="1:24" x14ac:dyDescent="0.25">
      <c r="A14" s="153">
        <v>4</v>
      </c>
      <c r="B14" s="13" t="s">
        <v>11</v>
      </c>
      <c r="C14" s="225" t="s">
        <v>701</v>
      </c>
      <c r="D14" s="7" t="s">
        <v>14</v>
      </c>
      <c r="E14" s="7">
        <v>1</v>
      </c>
      <c r="F14" s="15">
        <v>0</v>
      </c>
      <c r="G14" s="7"/>
      <c r="H14" s="7"/>
      <c r="I14" s="7"/>
      <c r="J14" s="5"/>
      <c r="K14" s="17">
        <f t="shared" si="0"/>
        <v>0</v>
      </c>
      <c r="L14" s="7">
        <v>12</v>
      </c>
      <c r="M14" s="80">
        <v>0.1691</v>
      </c>
      <c r="N14" s="18">
        <v>0.25</v>
      </c>
      <c r="O14" s="15">
        <v>28666.69</v>
      </c>
      <c r="P14" s="17">
        <v>0</v>
      </c>
      <c r="Q14" s="17">
        <v>0</v>
      </c>
      <c r="R14" s="17">
        <v>0</v>
      </c>
      <c r="S14" s="17">
        <f t="shared" si="1"/>
        <v>0</v>
      </c>
      <c r="T14" s="17">
        <v>0</v>
      </c>
      <c r="U14" s="17">
        <f t="shared" si="2"/>
        <v>28666.69</v>
      </c>
      <c r="V14" s="15">
        <f t="shared" si="3"/>
        <v>0</v>
      </c>
      <c r="W14" s="78">
        <v>0</v>
      </c>
      <c r="X14" s="75">
        <f t="shared" si="4"/>
        <v>-28666.69</v>
      </c>
    </row>
    <row r="15" spans="1:24" x14ac:dyDescent="0.25">
      <c r="A15" s="153">
        <v>5</v>
      </c>
      <c r="B15" s="13" t="s">
        <v>11</v>
      </c>
      <c r="C15" s="225" t="s">
        <v>702</v>
      </c>
      <c r="D15" s="7" t="s">
        <v>15</v>
      </c>
      <c r="E15" s="7">
        <v>1</v>
      </c>
      <c r="F15" s="15">
        <v>0</v>
      </c>
      <c r="G15" s="7"/>
      <c r="H15" s="7"/>
      <c r="I15" s="7"/>
      <c r="J15" s="5"/>
      <c r="K15" s="17">
        <f t="shared" si="0"/>
        <v>0</v>
      </c>
      <c r="L15" s="7">
        <v>12</v>
      </c>
      <c r="M15" s="80">
        <v>0.1691</v>
      </c>
      <c r="N15" s="18">
        <v>0.25</v>
      </c>
      <c r="O15" s="15">
        <v>316735.3</v>
      </c>
      <c r="P15" s="17">
        <v>45247.9</v>
      </c>
      <c r="Q15" s="17">
        <v>0</v>
      </c>
      <c r="R15" s="17">
        <v>0</v>
      </c>
      <c r="S15" s="17">
        <f>+T15/12</f>
        <v>0</v>
      </c>
      <c r="T15" s="17">
        <v>0</v>
      </c>
      <c r="U15" s="17">
        <f t="shared" si="2"/>
        <v>361983.2</v>
      </c>
      <c r="V15" s="15">
        <f t="shared" si="3"/>
        <v>0</v>
      </c>
      <c r="W15" s="78">
        <f>+S15*9</f>
        <v>0</v>
      </c>
      <c r="X15" s="75">
        <f t="shared" si="4"/>
        <v>-361983.2</v>
      </c>
    </row>
    <row r="16" spans="1:24" x14ac:dyDescent="0.25">
      <c r="A16" s="153">
        <v>6</v>
      </c>
      <c r="B16" s="13" t="s">
        <v>11</v>
      </c>
      <c r="C16" s="225" t="s">
        <v>703</v>
      </c>
      <c r="D16" s="7" t="s">
        <v>15</v>
      </c>
      <c r="E16" s="7">
        <v>1</v>
      </c>
      <c r="F16" s="15">
        <v>0</v>
      </c>
      <c r="G16" s="7"/>
      <c r="H16" s="7"/>
      <c r="I16" s="7"/>
      <c r="J16" s="5"/>
      <c r="K16" s="17">
        <f t="shared" si="0"/>
        <v>0</v>
      </c>
      <c r="L16" s="7">
        <v>12</v>
      </c>
      <c r="M16" s="80">
        <v>0.1691</v>
      </c>
      <c r="N16" s="18">
        <v>0.25</v>
      </c>
      <c r="O16" s="15">
        <v>238407.16</v>
      </c>
      <c r="P16" s="17">
        <v>34058.160000000003</v>
      </c>
      <c r="Q16" s="17">
        <v>0</v>
      </c>
      <c r="R16" s="17">
        <v>0</v>
      </c>
      <c r="S16" s="17">
        <f t="shared" si="1"/>
        <v>0</v>
      </c>
      <c r="T16" s="17">
        <v>0</v>
      </c>
      <c r="U16" s="17">
        <f t="shared" si="2"/>
        <v>272465.32</v>
      </c>
      <c r="V16" s="15">
        <f t="shared" si="3"/>
        <v>0</v>
      </c>
      <c r="W16" s="78">
        <f t="shared" ref="W16:W35" si="5">+S16*9</f>
        <v>0</v>
      </c>
      <c r="X16" s="75">
        <f t="shared" si="4"/>
        <v>-272465.32</v>
      </c>
    </row>
    <row r="17" spans="1:26" x14ac:dyDescent="0.25">
      <c r="A17" s="153">
        <v>7</v>
      </c>
      <c r="B17" s="13" t="s">
        <v>11</v>
      </c>
      <c r="C17" s="225" t="s">
        <v>704</v>
      </c>
      <c r="D17" s="7" t="s">
        <v>15</v>
      </c>
      <c r="E17" s="7">
        <v>1</v>
      </c>
      <c r="F17" s="15">
        <v>0</v>
      </c>
      <c r="G17" s="7"/>
      <c r="H17" s="7"/>
      <c r="I17" s="7"/>
      <c r="J17" s="5"/>
      <c r="K17" s="17">
        <f t="shared" si="0"/>
        <v>0</v>
      </c>
      <c r="L17" s="7">
        <v>12</v>
      </c>
      <c r="M17" s="80">
        <v>0.1691</v>
      </c>
      <c r="N17" s="18">
        <v>0.25</v>
      </c>
      <c r="O17" s="15">
        <v>316735.3</v>
      </c>
      <c r="P17" s="17">
        <v>45247.9</v>
      </c>
      <c r="Q17" s="17">
        <v>0</v>
      </c>
      <c r="R17" s="17">
        <v>0</v>
      </c>
      <c r="S17" s="17">
        <f t="shared" si="1"/>
        <v>0</v>
      </c>
      <c r="T17" s="17">
        <v>0</v>
      </c>
      <c r="U17" s="17">
        <f t="shared" si="2"/>
        <v>361983.2</v>
      </c>
      <c r="V17" s="15">
        <f t="shared" si="3"/>
        <v>0</v>
      </c>
      <c r="W17" s="78">
        <f t="shared" si="5"/>
        <v>0</v>
      </c>
      <c r="X17" s="75">
        <f t="shared" si="4"/>
        <v>-361983.2</v>
      </c>
    </row>
    <row r="18" spans="1:26" x14ac:dyDescent="0.25">
      <c r="A18" s="153">
        <v>8</v>
      </c>
      <c r="B18" s="13" t="s">
        <v>11</v>
      </c>
      <c r="C18" s="225" t="s">
        <v>705</v>
      </c>
      <c r="D18" s="7" t="s">
        <v>863</v>
      </c>
      <c r="E18" s="7">
        <v>1</v>
      </c>
      <c r="F18" s="15">
        <v>0</v>
      </c>
      <c r="G18" s="7"/>
      <c r="H18" s="7"/>
      <c r="I18" s="7"/>
      <c r="J18" s="5"/>
      <c r="K18" s="17">
        <f t="shared" si="0"/>
        <v>0</v>
      </c>
      <c r="L18" s="7">
        <v>12</v>
      </c>
      <c r="M18" s="80">
        <v>0.1691</v>
      </c>
      <c r="N18" s="18">
        <v>0.25</v>
      </c>
      <c r="O18" s="15">
        <v>461199.38</v>
      </c>
      <c r="P18" s="17">
        <v>65885.62</v>
      </c>
      <c r="Q18" s="17">
        <v>0</v>
      </c>
      <c r="R18" s="17">
        <v>0</v>
      </c>
      <c r="S18" s="17">
        <f t="shared" si="1"/>
        <v>0</v>
      </c>
      <c r="T18" s="17">
        <v>0</v>
      </c>
      <c r="U18" s="17">
        <f t="shared" si="2"/>
        <v>527085</v>
      </c>
      <c r="V18" s="15">
        <f t="shared" si="3"/>
        <v>0</v>
      </c>
      <c r="W18" s="78">
        <f t="shared" si="5"/>
        <v>0</v>
      </c>
      <c r="X18" s="75">
        <f t="shared" si="4"/>
        <v>-527085</v>
      </c>
    </row>
    <row r="19" spans="1:26" x14ac:dyDescent="0.25">
      <c r="A19" s="153">
        <v>9</v>
      </c>
      <c r="B19" s="13" t="s">
        <v>11</v>
      </c>
      <c r="C19" s="225" t="s">
        <v>706</v>
      </c>
      <c r="D19" s="7" t="s">
        <v>16</v>
      </c>
      <c r="E19" s="7">
        <v>1</v>
      </c>
      <c r="F19" s="15">
        <v>0</v>
      </c>
      <c r="G19" s="7"/>
      <c r="H19" s="7"/>
      <c r="I19" s="7"/>
      <c r="J19" s="5"/>
      <c r="K19" s="17">
        <f t="shared" si="0"/>
        <v>0</v>
      </c>
      <c r="L19" s="7">
        <v>12</v>
      </c>
      <c r="M19" s="80">
        <v>0.1691</v>
      </c>
      <c r="N19" s="18">
        <v>0.5</v>
      </c>
      <c r="O19" s="15">
        <v>18000</v>
      </c>
      <c r="P19" s="17">
        <v>0</v>
      </c>
      <c r="Q19" s="17">
        <v>0</v>
      </c>
      <c r="R19" s="17">
        <v>0</v>
      </c>
      <c r="S19" s="17">
        <f t="shared" si="1"/>
        <v>0</v>
      </c>
      <c r="T19" s="17">
        <v>0</v>
      </c>
      <c r="U19" s="17">
        <f t="shared" si="2"/>
        <v>18000</v>
      </c>
      <c r="V19" s="15">
        <f t="shared" si="3"/>
        <v>0</v>
      </c>
      <c r="W19" s="78">
        <f t="shared" si="5"/>
        <v>0</v>
      </c>
      <c r="X19" s="75">
        <f t="shared" si="4"/>
        <v>-18000</v>
      </c>
    </row>
    <row r="20" spans="1:26" x14ac:dyDescent="0.25">
      <c r="A20" s="153">
        <v>10</v>
      </c>
      <c r="B20" s="13" t="s">
        <v>11</v>
      </c>
      <c r="C20" s="225" t="s">
        <v>707</v>
      </c>
      <c r="D20" s="7" t="s">
        <v>240</v>
      </c>
      <c r="E20" s="7">
        <v>1</v>
      </c>
      <c r="F20" s="15">
        <v>279528.33999999997</v>
      </c>
      <c r="G20" s="7"/>
      <c r="H20" s="7"/>
      <c r="I20" s="7"/>
      <c r="J20" s="5"/>
      <c r="K20" s="17">
        <f t="shared" si="0"/>
        <v>279528.33999999997</v>
      </c>
      <c r="L20" s="7">
        <v>12</v>
      </c>
      <c r="M20" s="80">
        <v>0.1691</v>
      </c>
      <c r="N20" s="18">
        <v>0.25</v>
      </c>
      <c r="O20" s="15">
        <v>635291.66</v>
      </c>
      <c r="P20" s="17">
        <v>304940</v>
      </c>
      <c r="Q20" s="17">
        <v>121976</v>
      </c>
      <c r="R20" s="17">
        <v>47268.242293999996</v>
      </c>
      <c r="S20" s="17">
        <f>+T20/12</f>
        <v>3939.0201911666663</v>
      </c>
      <c r="T20" s="17">
        <f>+K20*M20</f>
        <v>47268.242293999996</v>
      </c>
      <c r="U20" s="17">
        <f t="shared" si="2"/>
        <v>1109475.9022940001</v>
      </c>
      <c r="V20" s="15">
        <f>+K20-Q20-R20-T20</f>
        <v>63015.855411999975</v>
      </c>
      <c r="W20" s="78">
        <f t="shared" si="5"/>
        <v>35451.181720499997</v>
      </c>
      <c r="X20" s="75">
        <f t="shared" si="4"/>
        <v>-696154.50172050006</v>
      </c>
    </row>
    <row r="21" spans="1:26" x14ac:dyDescent="0.25">
      <c r="A21" s="153">
        <v>11</v>
      </c>
      <c r="B21" s="13" t="s">
        <v>11</v>
      </c>
      <c r="C21" s="225" t="s">
        <v>708</v>
      </c>
      <c r="D21" s="7" t="s">
        <v>240</v>
      </c>
      <c r="E21" s="7">
        <v>1</v>
      </c>
      <c r="F21" s="15">
        <v>270200</v>
      </c>
      <c r="G21" s="7"/>
      <c r="H21" s="7"/>
      <c r="I21" s="7"/>
      <c r="J21" s="5"/>
      <c r="K21" s="17">
        <f t="shared" si="0"/>
        <v>270200</v>
      </c>
      <c r="L21" s="7">
        <v>12</v>
      </c>
      <c r="M21" s="80">
        <v>0.1691</v>
      </c>
      <c r="N21" s="18">
        <v>0.25</v>
      </c>
      <c r="O21" s="15">
        <v>540400</v>
      </c>
      <c r="P21" s="17">
        <v>270200</v>
      </c>
      <c r="Q21" s="17">
        <v>108080</v>
      </c>
      <c r="R21" s="17">
        <v>45690.82</v>
      </c>
      <c r="S21" s="17">
        <f t="shared" si="1"/>
        <v>3807.5683333333332</v>
      </c>
      <c r="T21" s="17">
        <f t="shared" ref="T21:T34" si="6">+K21*M21</f>
        <v>45690.82</v>
      </c>
      <c r="U21" s="17">
        <f t="shared" si="2"/>
        <v>964370.82</v>
      </c>
      <c r="V21" s="15">
        <f t="shared" ref="V21:V35" si="7">+K21-Q21-R21-T21</f>
        <v>70738.359999999986</v>
      </c>
      <c r="W21" s="78">
        <f t="shared" si="5"/>
        <v>34268.114999999998</v>
      </c>
      <c r="X21" s="75">
        <f t="shared" si="4"/>
        <v>-574668.11499999999</v>
      </c>
    </row>
    <row r="22" spans="1:26" x14ac:dyDescent="0.25">
      <c r="A22" s="153">
        <v>12</v>
      </c>
      <c r="B22" s="13" t="s">
        <v>11</v>
      </c>
      <c r="C22" s="225" t="s">
        <v>709</v>
      </c>
      <c r="D22" s="7" t="s">
        <v>17</v>
      </c>
      <c r="E22" s="7">
        <v>1</v>
      </c>
      <c r="F22" s="15">
        <v>6000</v>
      </c>
      <c r="G22" s="7"/>
      <c r="H22" s="7"/>
      <c r="I22" s="7"/>
      <c r="J22" s="5"/>
      <c r="K22" s="17">
        <f t="shared" si="0"/>
        <v>6000</v>
      </c>
      <c r="L22" s="7">
        <v>12</v>
      </c>
      <c r="M22" s="80">
        <v>0.1691</v>
      </c>
      <c r="N22" s="18">
        <v>0.25</v>
      </c>
      <c r="O22" s="15">
        <v>21000</v>
      </c>
      <c r="P22" s="17">
        <v>9000</v>
      </c>
      <c r="Q22" s="17">
        <v>6000</v>
      </c>
      <c r="R22" s="17">
        <v>6000</v>
      </c>
      <c r="S22" s="17">
        <f>+T22/8</f>
        <v>0</v>
      </c>
      <c r="T22" s="17">
        <v>0</v>
      </c>
      <c r="U22" s="17">
        <f t="shared" si="2"/>
        <v>36000</v>
      </c>
      <c r="V22" s="15">
        <v>0</v>
      </c>
      <c r="W22" s="78">
        <f>T22</f>
        <v>0</v>
      </c>
      <c r="X22" s="75">
        <f t="shared" si="4"/>
        <v>-24000</v>
      </c>
    </row>
    <row r="23" spans="1:26" x14ac:dyDescent="0.25">
      <c r="A23" s="153">
        <v>13</v>
      </c>
      <c r="B23" s="13" t="s">
        <v>11</v>
      </c>
      <c r="C23" s="225" t="s">
        <v>710</v>
      </c>
      <c r="D23" s="7" t="s">
        <v>862</v>
      </c>
      <c r="E23" s="7">
        <v>1</v>
      </c>
      <c r="F23" s="15">
        <v>180319.49</v>
      </c>
      <c r="G23" s="7"/>
      <c r="H23" s="7"/>
      <c r="I23" s="7"/>
      <c r="J23" s="5"/>
      <c r="K23" s="17">
        <f t="shared" si="0"/>
        <v>180319.49</v>
      </c>
      <c r="L23" s="7">
        <v>12</v>
      </c>
      <c r="M23" s="80">
        <v>0.1691</v>
      </c>
      <c r="N23" s="18">
        <v>0.25</v>
      </c>
      <c r="O23" s="15">
        <v>225399.38</v>
      </c>
      <c r="P23" s="17">
        <v>135239.63</v>
      </c>
      <c r="Q23" s="17">
        <v>54095.850000000006</v>
      </c>
      <c r="R23" s="17">
        <v>30492.025759</v>
      </c>
      <c r="S23" s="17">
        <f t="shared" si="1"/>
        <v>2541.0021465833333</v>
      </c>
      <c r="T23" s="17">
        <f t="shared" si="6"/>
        <v>30492.025759</v>
      </c>
      <c r="U23" s="17">
        <f t="shared" si="2"/>
        <v>445226.88575899997</v>
      </c>
      <c r="V23" s="15">
        <f t="shared" si="7"/>
        <v>65239.588481999992</v>
      </c>
      <c r="W23" s="78">
        <f t="shared" si="5"/>
        <v>22869.019319250001</v>
      </c>
      <c r="X23" s="75">
        <f t="shared" si="4"/>
        <v>-203188.53931925003</v>
      </c>
    </row>
    <row r="24" spans="1:26" x14ac:dyDescent="0.25">
      <c r="A24" s="153">
        <v>14</v>
      </c>
      <c r="B24" s="13" t="s">
        <v>11</v>
      </c>
      <c r="C24" s="225" t="s">
        <v>711</v>
      </c>
      <c r="D24" s="7" t="s">
        <v>20</v>
      </c>
      <c r="E24" s="7">
        <v>1</v>
      </c>
      <c r="F24" s="15">
        <v>83188.079999999987</v>
      </c>
      <c r="G24" s="7"/>
      <c r="H24" s="7"/>
      <c r="I24" s="7"/>
      <c r="J24" s="5"/>
      <c r="K24" s="17">
        <f t="shared" si="0"/>
        <v>83188.079999999987</v>
      </c>
      <c r="L24" s="7">
        <v>12</v>
      </c>
      <c r="M24" s="80">
        <v>0.1691</v>
      </c>
      <c r="N24" s="18">
        <v>0.25</v>
      </c>
      <c r="O24" s="15">
        <v>103985.1</v>
      </c>
      <c r="P24" s="17">
        <v>62391.06</v>
      </c>
      <c r="Q24" s="17">
        <v>24956.423999999999</v>
      </c>
      <c r="R24" s="17">
        <v>14067.104327999998</v>
      </c>
      <c r="S24" s="17">
        <f t="shared" si="1"/>
        <v>1172.2586939999999</v>
      </c>
      <c r="T24" s="17">
        <f t="shared" si="6"/>
        <v>14067.104327999998</v>
      </c>
      <c r="U24" s="17">
        <f t="shared" si="2"/>
        <v>205399.68832799999</v>
      </c>
      <c r="V24" s="15">
        <f t="shared" si="7"/>
        <v>30097.447343999989</v>
      </c>
      <c r="W24" s="78">
        <f t="shared" si="5"/>
        <v>10550.328245999999</v>
      </c>
      <c r="X24" s="75">
        <f t="shared" si="4"/>
        <v>-93738.408246000021</v>
      </c>
    </row>
    <row r="25" spans="1:26" x14ac:dyDescent="0.25">
      <c r="A25" s="153">
        <v>15</v>
      </c>
      <c r="B25" s="13" t="s">
        <v>11</v>
      </c>
      <c r="C25" s="225" t="s">
        <v>712</v>
      </c>
      <c r="D25" s="7" t="s">
        <v>21</v>
      </c>
      <c r="E25" s="7">
        <v>1</v>
      </c>
      <c r="F25" s="15">
        <v>130345.59999999999</v>
      </c>
      <c r="G25" s="7"/>
      <c r="H25" s="7"/>
      <c r="I25" s="7"/>
      <c r="J25" s="5"/>
      <c r="K25" s="17">
        <f t="shared" si="0"/>
        <v>130345.59999999999</v>
      </c>
      <c r="L25" s="7">
        <v>12</v>
      </c>
      <c r="M25" s="80">
        <v>0.1691</v>
      </c>
      <c r="N25" s="18">
        <v>0.25</v>
      </c>
      <c r="O25" s="15">
        <v>162932</v>
      </c>
      <c r="P25" s="17">
        <v>97759.2</v>
      </c>
      <c r="Q25" s="17">
        <v>39103.68</v>
      </c>
      <c r="R25" s="17">
        <v>22041.44096</v>
      </c>
      <c r="S25" s="17">
        <f t="shared" si="1"/>
        <v>1836.7867466666667</v>
      </c>
      <c r="T25" s="17">
        <f t="shared" si="6"/>
        <v>22041.44096</v>
      </c>
      <c r="U25" s="17">
        <f t="shared" si="2"/>
        <v>321836.32095999998</v>
      </c>
      <c r="V25" s="15">
        <f t="shared" si="7"/>
        <v>47159.038079999977</v>
      </c>
      <c r="W25" s="78">
        <f t="shared" si="5"/>
        <v>16531.080719999998</v>
      </c>
      <c r="X25" s="75">
        <f t="shared" si="4"/>
        <v>-146876.68072</v>
      </c>
    </row>
    <row r="26" spans="1:26" x14ac:dyDescent="0.25">
      <c r="A26" s="153">
        <v>16</v>
      </c>
      <c r="B26" s="13" t="s">
        <v>11</v>
      </c>
      <c r="C26" s="225" t="s">
        <v>713</v>
      </c>
      <c r="D26" s="7" t="s">
        <v>21</v>
      </c>
      <c r="E26" s="7">
        <v>1</v>
      </c>
      <c r="F26" s="15">
        <v>130345.59999999999</v>
      </c>
      <c r="G26" s="7"/>
      <c r="H26" s="7"/>
      <c r="I26" s="7"/>
      <c r="J26" s="5"/>
      <c r="K26" s="17">
        <f t="shared" si="0"/>
        <v>130345.59999999999</v>
      </c>
      <c r="L26" s="7">
        <v>12</v>
      </c>
      <c r="M26" s="80">
        <v>0.1691</v>
      </c>
      <c r="N26" s="18">
        <v>0.25</v>
      </c>
      <c r="O26" s="15">
        <v>162932</v>
      </c>
      <c r="P26" s="17">
        <v>97759.2</v>
      </c>
      <c r="Q26" s="17">
        <v>39103.68</v>
      </c>
      <c r="R26" s="17">
        <v>22041.44096</v>
      </c>
      <c r="S26" s="17">
        <f t="shared" si="1"/>
        <v>1836.7867466666667</v>
      </c>
      <c r="T26" s="17">
        <f t="shared" si="6"/>
        <v>22041.44096</v>
      </c>
      <c r="U26" s="17">
        <f t="shared" si="2"/>
        <v>321836.32095999998</v>
      </c>
      <c r="V26" s="15">
        <f t="shared" si="7"/>
        <v>47159.038079999977</v>
      </c>
      <c r="W26" s="78">
        <f t="shared" si="5"/>
        <v>16531.080719999998</v>
      </c>
      <c r="X26" s="75">
        <f t="shared" si="4"/>
        <v>-146876.68072</v>
      </c>
    </row>
    <row r="27" spans="1:26" x14ac:dyDescent="0.25">
      <c r="A27" s="153">
        <v>17</v>
      </c>
      <c r="B27" s="13" t="s">
        <v>11</v>
      </c>
      <c r="C27" s="225" t="s">
        <v>714</v>
      </c>
      <c r="D27" s="7" t="s">
        <v>21</v>
      </c>
      <c r="E27" s="7">
        <v>1</v>
      </c>
      <c r="F27" s="15">
        <v>134755.13</v>
      </c>
      <c r="G27" s="7"/>
      <c r="H27" s="7"/>
      <c r="I27" s="7"/>
      <c r="J27" s="5"/>
      <c r="K27" s="17">
        <f t="shared" si="0"/>
        <v>134755.13</v>
      </c>
      <c r="L27" s="7">
        <v>12</v>
      </c>
      <c r="M27" s="80">
        <v>0.1691</v>
      </c>
      <c r="N27" s="18">
        <v>0.25</v>
      </c>
      <c r="O27" s="15">
        <v>168443.92</v>
      </c>
      <c r="P27" s="17">
        <v>101066.35</v>
      </c>
      <c r="Q27" s="17">
        <v>40426.540000000008</v>
      </c>
      <c r="R27" s="17">
        <v>22787.092483</v>
      </c>
      <c r="S27" s="17">
        <f t="shared" si="1"/>
        <v>1898.9243735833334</v>
      </c>
      <c r="T27" s="17">
        <f t="shared" si="6"/>
        <v>22787.092483</v>
      </c>
      <c r="U27" s="17">
        <f t="shared" si="2"/>
        <v>332723.90248300007</v>
      </c>
      <c r="V27" s="15">
        <f t="shared" si="7"/>
        <v>48754.405033999996</v>
      </c>
      <c r="W27" s="78">
        <f t="shared" si="5"/>
        <v>17090.31936225</v>
      </c>
      <c r="X27" s="75">
        <f t="shared" si="4"/>
        <v>-151845.45936225003</v>
      </c>
    </row>
    <row r="28" spans="1:26" x14ac:dyDescent="0.25">
      <c r="A28" s="153">
        <v>18</v>
      </c>
      <c r="B28" s="13" t="s">
        <v>11</v>
      </c>
      <c r="C28" s="225" t="s">
        <v>715</v>
      </c>
      <c r="D28" s="7" t="s">
        <v>21</v>
      </c>
      <c r="E28" s="7">
        <v>1</v>
      </c>
      <c r="F28" s="15">
        <v>127388.80000000002</v>
      </c>
      <c r="G28" s="7"/>
      <c r="H28" s="7"/>
      <c r="I28" s="7"/>
      <c r="J28" s="5"/>
      <c r="K28" s="17">
        <f t="shared" si="0"/>
        <v>127388.80000000002</v>
      </c>
      <c r="L28" s="7">
        <v>12</v>
      </c>
      <c r="M28" s="80">
        <v>0.1691</v>
      </c>
      <c r="N28" s="18">
        <v>0.25</v>
      </c>
      <c r="O28" s="15">
        <v>159236</v>
      </c>
      <c r="P28" s="17">
        <v>95541.6</v>
      </c>
      <c r="Q28" s="17">
        <v>38216.640000000007</v>
      </c>
      <c r="R28" s="17">
        <v>21541.446080000002</v>
      </c>
      <c r="S28" s="17">
        <f t="shared" si="1"/>
        <v>1795.1205066666669</v>
      </c>
      <c r="T28" s="17">
        <f t="shared" si="6"/>
        <v>21541.446080000002</v>
      </c>
      <c r="U28" s="17">
        <f t="shared" si="2"/>
        <v>314535.68608000001</v>
      </c>
      <c r="V28" s="15">
        <f t="shared" si="7"/>
        <v>46089.267840000008</v>
      </c>
      <c r="W28" s="78">
        <f t="shared" si="5"/>
        <v>16156.084560000001</v>
      </c>
      <c r="X28" s="75">
        <f t="shared" si="4"/>
        <v>-143544.88455999998</v>
      </c>
      <c r="Y28" s="15"/>
      <c r="Z28" s="15"/>
    </row>
    <row r="29" spans="1:26" x14ac:dyDescent="0.25">
      <c r="A29" s="153">
        <v>19</v>
      </c>
      <c r="B29" s="13" t="s">
        <v>11</v>
      </c>
      <c r="C29" s="225" t="s">
        <v>716</v>
      </c>
      <c r="D29" s="7" t="s">
        <v>22</v>
      </c>
      <c r="E29" s="7">
        <v>1</v>
      </c>
      <c r="F29" s="15">
        <v>2635628.7999999998</v>
      </c>
      <c r="G29" s="7">
        <v>12</v>
      </c>
      <c r="H29" s="7"/>
      <c r="I29" s="7"/>
      <c r="J29" s="5"/>
      <c r="K29" s="17">
        <f t="shared" si="0"/>
        <v>2635628.7999999998</v>
      </c>
      <c r="L29" s="7">
        <v>0</v>
      </c>
      <c r="M29" s="80">
        <v>0.1691</v>
      </c>
      <c r="N29" s="18">
        <v>0.25</v>
      </c>
      <c r="O29" s="15">
        <v>0</v>
      </c>
      <c r="P29" s="17">
        <v>0</v>
      </c>
      <c r="Q29" s="17">
        <v>263562.88</v>
      </c>
      <c r="R29" s="17">
        <v>445684.83007999999</v>
      </c>
      <c r="S29" s="17">
        <f t="shared" si="1"/>
        <v>37140.402506666665</v>
      </c>
      <c r="T29" s="17">
        <f>+K29*M29</f>
        <v>445684.83007999999</v>
      </c>
      <c r="U29" s="17">
        <f t="shared" si="2"/>
        <v>709247.71007999999</v>
      </c>
      <c r="V29" s="15">
        <f t="shared" si="7"/>
        <v>1480696.25984</v>
      </c>
      <c r="W29" s="78">
        <f t="shared" si="5"/>
        <v>334263.62255999999</v>
      </c>
      <c r="X29" s="75">
        <f t="shared" si="4"/>
        <v>2301365.1774399998</v>
      </c>
    </row>
    <row r="30" spans="1:26" x14ac:dyDescent="0.25">
      <c r="A30" s="153">
        <v>20</v>
      </c>
      <c r="B30" s="13" t="s">
        <v>11</v>
      </c>
      <c r="C30" s="225" t="s">
        <v>717</v>
      </c>
      <c r="D30" s="7" t="s">
        <v>23</v>
      </c>
      <c r="E30" s="7">
        <v>1</v>
      </c>
      <c r="F30" s="15">
        <v>215123.33000000002</v>
      </c>
      <c r="G30" s="7"/>
      <c r="H30" s="7"/>
      <c r="I30" s="7"/>
      <c r="J30" s="5"/>
      <c r="K30" s="17">
        <f t="shared" si="0"/>
        <v>215123.33000000002</v>
      </c>
      <c r="L30" s="7">
        <v>12</v>
      </c>
      <c r="M30" s="80">
        <v>0.1691</v>
      </c>
      <c r="N30" s="18">
        <v>0.25</v>
      </c>
      <c r="O30" s="15">
        <v>26890.42</v>
      </c>
      <c r="P30" s="17">
        <v>80671.25</v>
      </c>
      <c r="Q30" s="17">
        <v>32268.5</v>
      </c>
      <c r="R30" s="17">
        <v>36377.355103000002</v>
      </c>
      <c r="S30" s="17">
        <f t="shared" si="1"/>
        <v>3031.4462585833335</v>
      </c>
      <c r="T30" s="17">
        <f t="shared" si="6"/>
        <v>36377.355103000002</v>
      </c>
      <c r="U30" s="17">
        <f t="shared" si="2"/>
        <v>176207.52510299999</v>
      </c>
      <c r="V30" s="15">
        <f t="shared" si="7"/>
        <v>110100.119794</v>
      </c>
      <c r="W30" s="78">
        <f t="shared" si="5"/>
        <v>27283.016327249999</v>
      </c>
      <c r="X30" s="75">
        <f t="shared" si="4"/>
        <v>80278.64367275004</v>
      </c>
    </row>
    <row r="31" spans="1:26" x14ac:dyDescent="0.25">
      <c r="A31" s="153">
        <v>21</v>
      </c>
      <c r="B31" s="13" t="s">
        <v>11</v>
      </c>
      <c r="C31" s="225" t="s">
        <v>718</v>
      </c>
      <c r="D31" s="7" t="s">
        <v>24</v>
      </c>
      <c r="E31" s="7">
        <v>1</v>
      </c>
      <c r="F31" s="15">
        <v>271268.25</v>
      </c>
      <c r="G31" s="7"/>
      <c r="H31" s="7"/>
      <c r="I31" s="7"/>
      <c r="J31" s="5"/>
      <c r="K31" s="17">
        <f t="shared" si="0"/>
        <v>271268.25</v>
      </c>
      <c r="L31" s="7">
        <v>12</v>
      </c>
      <c r="M31" s="80">
        <v>0.1691</v>
      </c>
      <c r="N31" s="18">
        <v>0.25</v>
      </c>
      <c r="O31" s="15">
        <v>24660.75</v>
      </c>
      <c r="P31" s="17">
        <v>98643</v>
      </c>
      <c r="Q31" s="17">
        <v>39457.200000000004</v>
      </c>
      <c r="R31" s="17">
        <v>45871.461074999999</v>
      </c>
      <c r="S31" s="17">
        <f t="shared" si="1"/>
        <v>3822.6217562500001</v>
      </c>
      <c r="T31" s="17">
        <f t="shared" si="6"/>
        <v>45871.461074999999</v>
      </c>
      <c r="U31" s="17">
        <f t="shared" si="2"/>
        <v>208632.41107500001</v>
      </c>
      <c r="V31" s="15">
        <f t="shared" si="7"/>
        <v>140068.12784999999</v>
      </c>
      <c r="W31" s="78">
        <f t="shared" si="5"/>
        <v>34403.595806249999</v>
      </c>
      <c r="X31" s="75">
        <f t="shared" si="4"/>
        <v>113560.90419375</v>
      </c>
    </row>
    <row r="32" spans="1:26" x14ac:dyDescent="0.25">
      <c r="A32" s="153">
        <v>22</v>
      </c>
      <c r="B32" s="13" t="s">
        <v>11</v>
      </c>
      <c r="C32" s="225" t="s">
        <v>719</v>
      </c>
      <c r="D32" s="7" t="s">
        <v>24</v>
      </c>
      <c r="E32" s="7">
        <v>1</v>
      </c>
      <c r="F32" s="15">
        <v>271268.25</v>
      </c>
      <c r="G32" s="7"/>
      <c r="H32" s="7"/>
      <c r="I32" s="7"/>
      <c r="J32" s="5"/>
      <c r="K32" s="17">
        <f t="shared" si="0"/>
        <v>271268.25</v>
      </c>
      <c r="L32" s="7">
        <v>12</v>
      </c>
      <c r="M32" s="80">
        <v>0.1691</v>
      </c>
      <c r="N32" s="18">
        <v>0.25</v>
      </c>
      <c r="O32" s="15">
        <v>24660.75</v>
      </c>
      <c r="P32" s="17">
        <v>98643</v>
      </c>
      <c r="Q32" s="17">
        <v>39457.200000000004</v>
      </c>
      <c r="R32" s="17">
        <v>45871.461074999999</v>
      </c>
      <c r="S32" s="17">
        <f t="shared" si="1"/>
        <v>3822.6217562500001</v>
      </c>
      <c r="T32" s="17">
        <f t="shared" si="6"/>
        <v>45871.461074999999</v>
      </c>
      <c r="U32" s="17">
        <f t="shared" si="2"/>
        <v>208632.41107500001</v>
      </c>
      <c r="V32" s="15">
        <f t="shared" si="7"/>
        <v>140068.12784999999</v>
      </c>
      <c r="W32" s="78">
        <f t="shared" si="5"/>
        <v>34403.595806249999</v>
      </c>
      <c r="X32" s="75">
        <f t="shared" si="4"/>
        <v>113560.90419375</v>
      </c>
    </row>
    <row r="33" spans="1:24" x14ac:dyDescent="0.25">
      <c r="A33" s="153">
        <v>23</v>
      </c>
      <c r="B33" s="13" t="s">
        <v>11</v>
      </c>
      <c r="C33" s="225" t="s">
        <v>720</v>
      </c>
      <c r="D33" s="7" t="s">
        <v>25</v>
      </c>
      <c r="E33" s="7">
        <v>1</v>
      </c>
      <c r="F33" s="15">
        <v>870399.89999999991</v>
      </c>
      <c r="G33" s="7"/>
      <c r="H33" s="7"/>
      <c r="I33" s="7"/>
      <c r="J33" s="5"/>
      <c r="K33" s="17">
        <f t="shared" si="0"/>
        <v>870399.89999999991</v>
      </c>
      <c r="L33" s="7">
        <v>12</v>
      </c>
      <c r="M33" s="80">
        <v>0.1691</v>
      </c>
      <c r="N33" s="18">
        <v>0.25</v>
      </c>
      <c r="O33" s="15">
        <v>0</v>
      </c>
      <c r="P33" s="17">
        <v>290133.3</v>
      </c>
      <c r="Q33" s="17">
        <v>116053.32</v>
      </c>
      <c r="R33" s="17">
        <v>147184.62308999998</v>
      </c>
      <c r="S33" s="17">
        <f t="shared" si="1"/>
        <v>12265.385257499998</v>
      </c>
      <c r="T33" s="17">
        <f t="shared" si="6"/>
        <v>147184.62308999998</v>
      </c>
      <c r="U33" s="17">
        <f t="shared" si="2"/>
        <v>553371.24309</v>
      </c>
      <c r="V33" s="15">
        <f t="shared" si="7"/>
        <v>459977.33381999983</v>
      </c>
      <c r="W33" s="78">
        <f t="shared" si="5"/>
        <v>110388.46731749998</v>
      </c>
      <c r="X33" s="75">
        <f t="shared" si="4"/>
        <v>469878.13268249988</v>
      </c>
    </row>
    <row r="34" spans="1:24" x14ac:dyDescent="0.25">
      <c r="A34" s="227">
        <v>24</v>
      </c>
      <c r="B34" s="245" t="s">
        <v>11</v>
      </c>
      <c r="C34" s="226" t="s">
        <v>721</v>
      </c>
      <c r="D34" s="149" t="s">
        <v>15</v>
      </c>
      <c r="E34" s="149"/>
      <c r="F34" s="26">
        <v>341217.76</v>
      </c>
      <c r="G34" s="149">
        <v>5</v>
      </c>
      <c r="H34" s="246"/>
      <c r="I34" s="149"/>
      <c r="J34" s="229"/>
      <c r="K34" s="26">
        <f t="shared" si="0"/>
        <v>341217.76</v>
      </c>
      <c r="L34" s="149">
        <v>7</v>
      </c>
      <c r="M34" s="247">
        <v>0.1691</v>
      </c>
      <c r="N34" s="150">
        <v>0.25</v>
      </c>
      <c r="O34" s="104">
        <v>0</v>
      </c>
      <c r="P34" s="26">
        <v>58256.69</v>
      </c>
      <c r="Q34" s="26">
        <v>39947.445000000007</v>
      </c>
      <c r="R34" s="26">
        <v>57699.923216000003</v>
      </c>
      <c r="S34" s="26">
        <f t="shared" si="1"/>
        <v>4808.3269346666666</v>
      </c>
      <c r="T34" s="26">
        <f t="shared" si="6"/>
        <v>57699.923216000003</v>
      </c>
      <c r="U34" s="26">
        <f t="shared" si="2"/>
        <v>155904.058216</v>
      </c>
      <c r="V34" s="15">
        <f t="shared" si="7"/>
        <v>185870.46856800001</v>
      </c>
      <c r="W34" s="78">
        <f t="shared" si="5"/>
        <v>43274.942411999997</v>
      </c>
      <c r="X34" s="75">
        <f t="shared" si="4"/>
        <v>239686.127588</v>
      </c>
    </row>
    <row r="35" spans="1:24" s="25" customFormat="1" ht="15.75" thickBot="1" x14ac:dyDescent="0.3">
      <c r="A35" s="227">
        <v>25</v>
      </c>
      <c r="B35" s="245" t="s">
        <v>11</v>
      </c>
      <c r="C35" s="226" t="s">
        <v>722</v>
      </c>
      <c r="D35" s="149" t="s">
        <v>280</v>
      </c>
      <c r="E35" s="149"/>
      <c r="F35" s="26">
        <v>74079.649999999994</v>
      </c>
      <c r="G35" s="149">
        <v>7</v>
      </c>
      <c r="H35" s="246"/>
      <c r="I35" s="149"/>
      <c r="J35" s="229"/>
      <c r="K35" s="26">
        <f t="shared" si="0"/>
        <v>74079.649999999994</v>
      </c>
      <c r="L35" s="149">
        <v>5</v>
      </c>
      <c r="M35" s="247">
        <v>0.1</v>
      </c>
      <c r="N35" s="150">
        <v>0</v>
      </c>
      <c r="O35" s="104">
        <v>0</v>
      </c>
      <c r="P35" s="26">
        <v>0</v>
      </c>
      <c r="Q35" s="26">
        <v>3086.6520833333334</v>
      </c>
      <c r="R35" s="26">
        <v>3086.6520833333334</v>
      </c>
      <c r="S35" s="26">
        <f>+K35*M35/12</f>
        <v>617.33041666666668</v>
      </c>
      <c r="T35" s="26">
        <f>+S35*L35</f>
        <v>3086.6520833333334</v>
      </c>
      <c r="U35" s="26">
        <f t="shared" si="2"/>
        <v>6173.3041666666668</v>
      </c>
      <c r="V35" s="15">
        <f t="shared" si="7"/>
        <v>64819.693749999991</v>
      </c>
      <c r="W35" s="108">
        <f t="shared" si="5"/>
        <v>5555.9737500000001</v>
      </c>
      <c r="X35" s="107">
        <f t="shared" si="4"/>
        <v>68523.67624999999</v>
      </c>
    </row>
    <row r="36" spans="1:24" ht="16.5" thickTop="1" thickBot="1" x14ac:dyDescent="0.3">
      <c r="A36" s="298" t="s">
        <v>12</v>
      </c>
      <c r="B36" s="298"/>
      <c r="C36" s="298"/>
      <c r="D36" s="298"/>
      <c r="E36" s="298"/>
      <c r="F36" s="117">
        <f>SUM(F11:F35)</f>
        <v>6021056.9800000004</v>
      </c>
      <c r="G36" s="117"/>
      <c r="H36" s="117">
        <f t="shared" ref="H36:P36" si="8">SUM(H11:H35)</f>
        <v>0</v>
      </c>
      <c r="I36" s="117">
        <f t="shared" si="8"/>
        <v>0</v>
      </c>
      <c r="J36" s="117">
        <f t="shared" si="8"/>
        <v>0</v>
      </c>
      <c r="K36" s="124">
        <f t="shared" si="8"/>
        <v>6021056.9800000004</v>
      </c>
      <c r="L36" s="118"/>
      <c r="M36" s="118"/>
      <c r="N36" s="118"/>
      <c r="O36" s="117">
        <f t="shared" si="8"/>
        <v>4024784.88</v>
      </c>
      <c r="P36" s="117">
        <f t="shared" si="8"/>
        <v>1990683.86</v>
      </c>
      <c r="Q36" s="117">
        <f>SUM(Q11:Q35)</f>
        <v>1005792.0110833333</v>
      </c>
      <c r="R36" s="117">
        <f>SUM(R11:R35)</f>
        <v>1013705.9185863333</v>
      </c>
      <c r="S36" s="117">
        <f t="shared" ref="S36:X36" si="9">SUM(S11:S35)</f>
        <v>84335.602625250001</v>
      </c>
      <c r="T36" s="124">
        <f t="shared" si="9"/>
        <v>1007705.9185863333</v>
      </c>
      <c r="U36" s="124">
        <f t="shared" si="9"/>
        <v>8028966.6696696663</v>
      </c>
      <c r="V36" s="124">
        <f>SUM(V11:V35)-R22</f>
        <v>2993853.1317439992</v>
      </c>
      <c r="W36" s="117">
        <f t="shared" si="9"/>
        <v>759020.42362725013</v>
      </c>
      <c r="X36" s="117">
        <f t="shared" si="9"/>
        <v>-753432.18362724979</v>
      </c>
    </row>
    <row r="37" spans="1:24" ht="16.5" thickTop="1" thickBot="1" x14ac:dyDescent="0.3">
      <c r="A37" s="296" t="s">
        <v>348</v>
      </c>
      <c r="B37" s="297"/>
      <c r="C37" s="297"/>
      <c r="D37" s="297"/>
      <c r="E37" s="297"/>
      <c r="F37" s="121">
        <f>+F36</f>
        <v>6021056.9800000004</v>
      </c>
      <c r="G37" s="121"/>
      <c r="H37" s="121">
        <f>+H36</f>
        <v>0</v>
      </c>
      <c r="I37" s="121"/>
      <c r="J37" s="121"/>
      <c r="K37" s="121">
        <f>+K36</f>
        <v>6021056.9800000004</v>
      </c>
      <c r="L37" s="119"/>
      <c r="M37" s="119"/>
      <c r="N37" s="119"/>
      <c r="O37" s="121">
        <f>O36</f>
        <v>4024784.88</v>
      </c>
      <c r="P37" s="121">
        <f>P36</f>
        <v>1990683.86</v>
      </c>
      <c r="Q37" s="121">
        <f>+Q36</f>
        <v>1005792.0110833333</v>
      </c>
      <c r="R37" s="121"/>
      <c r="S37" s="121"/>
      <c r="T37" s="121"/>
      <c r="U37" s="121">
        <f>+U36</f>
        <v>8028966.6696696663</v>
      </c>
      <c r="V37" s="120">
        <f>+V36</f>
        <v>2993853.1317439992</v>
      </c>
    </row>
    <row r="38" spans="1:24" ht="16.5" thickTop="1" thickBot="1" x14ac:dyDescent="0.3">
      <c r="A38" s="293" t="s">
        <v>291</v>
      </c>
      <c r="B38" s="294"/>
      <c r="C38" s="294"/>
      <c r="D38" s="294"/>
      <c r="E38" s="295"/>
      <c r="F38" s="116">
        <f>+F36-F37</f>
        <v>0</v>
      </c>
      <c r="G38" s="122"/>
      <c r="H38" s="123">
        <f>+H36-H37</f>
        <v>0</v>
      </c>
      <c r="I38" s="122"/>
      <c r="J38" s="122"/>
      <c r="K38" s="116">
        <f>+K36-K37</f>
        <v>0</v>
      </c>
      <c r="L38" s="288"/>
      <c r="M38" s="289"/>
      <c r="N38" s="290"/>
      <c r="O38" s="116">
        <f>+O36-O37</f>
        <v>0</v>
      </c>
      <c r="P38" s="116">
        <f>+P36-P37</f>
        <v>0</v>
      </c>
      <c r="Q38" s="116">
        <f>+Q36-Q37</f>
        <v>0</v>
      </c>
      <c r="R38" s="116"/>
      <c r="S38" s="122"/>
      <c r="T38" s="122"/>
      <c r="U38" s="116">
        <f>+U36-U37</f>
        <v>0</v>
      </c>
      <c r="V38" s="116">
        <f>+V36-V37</f>
        <v>0</v>
      </c>
      <c r="X38" s="15"/>
    </row>
    <row r="39" spans="1:24" ht="15.75" thickTop="1" x14ac:dyDescent="0.25">
      <c r="P39" s="110"/>
      <c r="Q39" s="110"/>
      <c r="R39" s="110"/>
      <c r="S39" s="1"/>
      <c r="V39" s="15"/>
    </row>
    <row r="40" spans="1:24" hidden="1" x14ac:dyDescent="0.25">
      <c r="K40" s="15"/>
      <c r="T40" s="15"/>
      <c r="U40" s="15"/>
      <c r="V40" s="15"/>
    </row>
    <row r="41" spans="1:24" hidden="1" x14ac:dyDescent="0.25">
      <c r="E41" s="125" t="s">
        <v>451</v>
      </c>
      <c r="V41" s="15"/>
    </row>
    <row r="42" spans="1:24" hidden="1" x14ac:dyDescent="0.25">
      <c r="D42" s="65" t="s">
        <v>339</v>
      </c>
      <c r="E42" s="15">
        <v>12036525.720000001</v>
      </c>
      <c r="V42" s="15"/>
    </row>
    <row r="43" spans="1:24" hidden="1" x14ac:dyDescent="0.25">
      <c r="D43" s="65" t="s">
        <v>462</v>
      </c>
      <c r="E43" s="15">
        <v>7021260.75</v>
      </c>
      <c r="V43" s="15"/>
    </row>
    <row r="44" spans="1:24" hidden="1" x14ac:dyDescent="0.25">
      <c r="D44" s="179" t="s">
        <v>457</v>
      </c>
      <c r="E44" s="15">
        <f>+T36</f>
        <v>1007705.9185863333</v>
      </c>
      <c r="V44" s="15"/>
    </row>
    <row r="45" spans="1:24" hidden="1" x14ac:dyDescent="0.25">
      <c r="D45" s="186" t="s">
        <v>454</v>
      </c>
      <c r="E45" s="143">
        <f>+E42-E43-E44-V36</f>
        <v>1013705.9196696682</v>
      </c>
      <c r="V45" s="15"/>
    </row>
    <row r="46" spans="1:24" hidden="1" x14ac:dyDescent="0.25"/>
    <row r="47" spans="1:24" hidden="1" x14ac:dyDescent="0.25"/>
    <row r="49" spans="5:20" x14ac:dyDescent="0.25">
      <c r="T49" s="15"/>
    </row>
    <row r="54" spans="5:20" hidden="1" x14ac:dyDescent="0.25">
      <c r="E54" s="15">
        <f>+F36-Q36</f>
        <v>5015264.9689166676</v>
      </c>
    </row>
  </sheetData>
  <mergeCells count="29">
    <mergeCell ref="A36:E36"/>
    <mergeCell ref="A37:E37"/>
    <mergeCell ref="A38:E38"/>
    <mergeCell ref="L38:N38"/>
    <mergeCell ref="E7:E9"/>
    <mergeCell ref="C7:C9"/>
    <mergeCell ref="X7:X9"/>
    <mergeCell ref="P8:P9"/>
    <mergeCell ref="S8:S9"/>
    <mergeCell ref="T8:T9"/>
    <mergeCell ref="F7:F9"/>
    <mergeCell ref="G7:H8"/>
    <mergeCell ref="V7:V9"/>
    <mergeCell ref="W7:W9"/>
    <mergeCell ref="Q8:Q9"/>
    <mergeCell ref="A3:V3"/>
    <mergeCell ref="A4:V4"/>
    <mergeCell ref="I7:I9"/>
    <mergeCell ref="J7:J9"/>
    <mergeCell ref="K7:K9"/>
    <mergeCell ref="L7:L9"/>
    <mergeCell ref="M7:N8"/>
    <mergeCell ref="O7:U7"/>
    <mergeCell ref="O8:O9"/>
    <mergeCell ref="U8:U9"/>
    <mergeCell ref="A7:A9"/>
    <mergeCell ref="B7:B9"/>
    <mergeCell ref="D7:D9"/>
    <mergeCell ref="R8:R9"/>
  </mergeCells>
  <pageMargins left="0.25" right="0.25" top="0.75" bottom="0.75" header="0.3" footer="0.3"/>
  <pageSetup paperSize="9" scale="55" fitToHeight="0" orientation="landscape" r:id="rId1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AA90"/>
  <sheetViews>
    <sheetView topLeftCell="E47" zoomScaleNormal="100" workbookViewId="0">
      <selection activeCell="T91" sqref="T91"/>
    </sheetView>
  </sheetViews>
  <sheetFormatPr defaultColWidth="9.140625" defaultRowHeight="15" x14ac:dyDescent="0.25"/>
  <cols>
    <col min="1" max="1" width="5.7109375" style="2" customWidth="1"/>
    <col min="2" max="2" width="7.28515625" style="2" customWidth="1"/>
    <col min="3" max="3" width="15" style="2" bestFit="1" customWidth="1"/>
    <col min="4" max="4" width="23.42578125" style="2" customWidth="1"/>
    <col min="5" max="5" width="27.5703125" style="2" bestFit="1" customWidth="1"/>
    <col min="6" max="6" width="19.5703125" style="2" customWidth="1"/>
    <col min="7" max="7" width="8.42578125" style="2" customWidth="1"/>
    <col min="8" max="8" width="13.7109375" style="2" bestFit="1" customWidth="1"/>
    <col min="9" max="10" width="7.42578125" style="2" customWidth="1"/>
    <col min="11" max="11" width="14.42578125" style="2" customWidth="1"/>
    <col min="12" max="13" width="11.28515625" style="2" customWidth="1"/>
    <col min="14" max="14" width="8.42578125" style="2" customWidth="1"/>
    <col min="15" max="15" width="8.140625" style="2" customWidth="1"/>
    <col min="16" max="17" width="13.7109375" style="2" bestFit="1" customWidth="1"/>
    <col min="18" max="20" width="13.7109375" style="2" customWidth="1"/>
    <col min="21" max="21" width="12" style="2" bestFit="1" customWidth="1"/>
    <col min="22" max="22" width="14.85546875" style="2" bestFit="1" customWidth="1"/>
    <col min="23" max="23" width="17" style="2" bestFit="1" customWidth="1"/>
    <col min="24" max="24" width="12.5703125" style="2" hidden="1" customWidth="1"/>
    <col min="25" max="25" width="15.140625" style="2" hidden="1" customWidth="1"/>
    <col min="26" max="27" width="10.85546875" style="2" bestFit="1" customWidth="1"/>
    <col min="28" max="16384" width="9.140625" style="2"/>
  </cols>
  <sheetData>
    <row r="1" spans="1:25" x14ac:dyDescent="0.25">
      <c r="A1" s="113" t="s">
        <v>359</v>
      </c>
    </row>
    <row r="3" spans="1:25" x14ac:dyDescent="0.25">
      <c r="A3" s="299" t="s">
        <v>864</v>
      </c>
      <c r="B3" s="299"/>
      <c r="C3" s="299"/>
      <c r="D3" s="299"/>
      <c r="E3" s="299"/>
      <c r="F3" s="299"/>
      <c r="G3" s="299"/>
      <c r="H3" s="299"/>
      <c r="I3" s="299"/>
      <c r="J3" s="299"/>
      <c r="K3" s="299"/>
      <c r="L3" s="299"/>
      <c r="M3" s="299"/>
      <c r="N3" s="299"/>
      <c r="O3" s="299"/>
      <c r="P3" s="299"/>
      <c r="Q3" s="299"/>
      <c r="R3" s="299"/>
      <c r="S3" s="299"/>
      <c r="T3" s="299"/>
      <c r="U3" s="299"/>
      <c r="V3" s="299"/>
      <c r="W3" s="299"/>
    </row>
    <row r="4" spans="1:25" x14ac:dyDescent="0.25">
      <c r="A4" s="300" t="s">
        <v>350</v>
      </c>
      <c r="B4" s="300"/>
      <c r="C4" s="300"/>
      <c r="D4" s="300"/>
      <c r="E4" s="300"/>
      <c r="F4" s="300"/>
      <c r="G4" s="300"/>
      <c r="H4" s="300"/>
      <c r="I4" s="300"/>
      <c r="J4" s="300"/>
      <c r="K4" s="300"/>
      <c r="L4" s="300"/>
      <c r="M4" s="300"/>
      <c r="N4" s="300"/>
      <c r="O4" s="300"/>
      <c r="P4" s="300"/>
      <c r="Q4" s="300"/>
      <c r="R4" s="300"/>
      <c r="S4" s="300"/>
      <c r="T4" s="300"/>
      <c r="U4" s="300"/>
      <c r="V4" s="300"/>
      <c r="W4" s="300"/>
    </row>
    <row r="5" spans="1:25" ht="15.75" thickBot="1" x14ac:dyDescent="0.3">
      <c r="A5" s="71"/>
    </row>
    <row r="6" spans="1:25" ht="16.5" customHeight="1" thickTop="1" thickBot="1" x14ac:dyDescent="0.3">
      <c r="A6" s="283" t="s">
        <v>0</v>
      </c>
      <c r="B6" s="283" t="s">
        <v>332</v>
      </c>
      <c r="C6" s="283" t="s">
        <v>524</v>
      </c>
      <c r="D6" s="283" t="s">
        <v>1</v>
      </c>
      <c r="E6" s="283" t="s">
        <v>7</v>
      </c>
      <c r="F6" s="283" t="s">
        <v>414</v>
      </c>
      <c r="G6" s="284" t="s">
        <v>523</v>
      </c>
      <c r="H6" s="284"/>
      <c r="I6" s="283" t="s">
        <v>18</v>
      </c>
      <c r="J6" s="283" t="s">
        <v>19</v>
      </c>
      <c r="K6" s="284" t="s">
        <v>408</v>
      </c>
      <c r="L6" s="283" t="s">
        <v>4</v>
      </c>
      <c r="M6" s="301" t="s">
        <v>5</v>
      </c>
      <c r="N6" s="302"/>
      <c r="O6" s="303"/>
      <c r="P6" s="283" t="s">
        <v>8</v>
      </c>
      <c r="Q6" s="283"/>
      <c r="R6" s="283"/>
      <c r="S6" s="283"/>
      <c r="T6" s="283"/>
      <c r="U6" s="283"/>
      <c r="V6" s="283"/>
      <c r="W6" s="285" t="s">
        <v>868</v>
      </c>
      <c r="X6" s="285" t="s">
        <v>260</v>
      </c>
      <c r="Y6" s="285" t="s">
        <v>261</v>
      </c>
    </row>
    <row r="7" spans="1:25" ht="25.5" customHeight="1" thickTop="1" thickBot="1" x14ac:dyDescent="0.3">
      <c r="A7" s="283"/>
      <c r="B7" s="283"/>
      <c r="C7" s="283"/>
      <c r="D7" s="283"/>
      <c r="E7" s="283"/>
      <c r="F7" s="283"/>
      <c r="G7" s="284"/>
      <c r="H7" s="284"/>
      <c r="I7" s="283"/>
      <c r="J7" s="283"/>
      <c r="K7" s="284"/>
      <c r="L7" s="283"/>
      <c r="M7" s="304"/>
      <c r="N7" s="305"/>
      <c r="O7" s="306"/>
      <c r="P7" s="283" t="s">
        <v>6</v>
      </c>
      <c r="Q7" s="291" t="s">
        <v>254</v>
      </c>
      <c r="R7" s="291" t="s">
        <v>410</v>
      </c>
      <c r="S7" s="291" t="s">
        <v>865</v>
      </c>
      <c r="T7" s="285" t="s">
        <v>866</v>
      </c>
      <c r="U7" s="285" t="s">
        <v>867</v>
      </c>
      <c r="V7" s="283" t="s">
        <v>265</v>
      </c>
      <c r="W7" s="286"/>
      <c r="X7" s="286"/>
      <c r="Y7" s="286"/>
    </row>
    <row r="8" spans="1:25" ht="33" customHeight="1" thickTop="1" thickBot="1" x14ac:dyDescent="0.3">
      <c r="A8" s="283"/>
      <c r="B8" s="283"/>
      <c r="C8" s="283"/>
      <c r="D8" s="283"/>
      <c r="E8" s="283"/>
      <c r="F8" s="283"/>
      <c r="G8" s="154" t="s">
        <v>2</v>
      </c>
      <c r="H8" s="154" t="s">
        <v>3</v>
      </c>
      <c r="I8" s="283"/>
      <c r="J8" s="283"/>
      <c r="K8" s="284"/>
      <c r="L8" s="283"/>
      <c r="M8" s="166" t="s">
        <v>425</v>
      </c>
      <c r="N8" s="154" t="s">
        <v>256</v>
      </c>
      <c r="O8" s="154" t="s">
        <v>255</v>
      </c>
      <c r="P8" s="283"/>
      <c r="Q8" s="292"/>
      <c r="R8" s="292"/>
      <c r="S8" s="292"/>
      <c r="T8" s="287"/>
      <c r="U8" s="287"/>
      <c r="V8" s="283"/>
      <c r="W8" s="287"/>
      <c r="X8" s="287"/>
      <c r="Y8" s="287"/>
    </row>
    <row r="9" spans="1:25" ht="16.5" thickTop="1" thickBot="1" x14ac:dyDescent="0.3">
      <c r="A9" s="74">
        <v>1</v>
      </c>
      <c r="B9" s="74">
        <v>2</v>
      </c>
      <c r="C9" s="74">
        <v>3</v>
      </c>
      <c r="D9" s="74">
        <v>4</v>
      </c>
      <c r="E9" s="74">
        <v>5</v>
      </c>
      <c r="F9" s="74">
        <v>6</v>
      </c>
      <c r="G9" s="74">
        <v>7</v>
      </c>
      <c r="H9" s="74">
        <v>8</v>
      </c>
      <c r="I9" s="74">
        <v>9</v>
      </c>
      <c r="J9" s="74">
        <v>10</v>
      </c>
      <c r="K9" s="74">
        <v>11</v>
      </c>
      <c r="L9" s="74">
        <v>12</v>
      </c>
      <c r="M9" s="74">
        <v>13</v>
      </c>
      <c r="N9" s="74">
        <v>14</v>
      </c>
      <c r="O9" s="74">
        <v>15</v>
      </c>
      <c r="P9" s="74">
        <v>16</v>
      </c>
      <c r="Q9" s="74">
        <v>17</v>
      </c>
      <c r="R9" s="74">
        <v>18</v>
      </c>
      <c r="S9" s="74">
        <v>19</v>
      </c>
      <c r="T9" s="74">
        <v>20</v>
      </c>
      <c r="U9" s="74">
        <v>21</v>
      </c>
      <c r="V9" s="74">
        <v>22</v>
      </c>
      <c r="W9" s="74">
        <v>23</v>
      </c>
      <c r="X9" s="74">
        <v>20</v>
      </c>
      <c r="Y9" s="74">
        <v>21</v>
      </c>
    </row>
    <row r="10" spans="1:25" ht="15.75" thickTop="1" x14ac:dyDescent="0.25">
      <c r="A10" s="174">
        <v>1</v>
      </c>
      <c r="B10" s="23" t="s">
        <v>27</v>
      </c>
      <c r="C10" s="221" t="s">
        <v>723</v>
      </c>
      <c r="D10" s="24" t="s">
        <v>29</v>
      </c>
      <c r="E10" s="6">
        <v>1</v>
      </c>
      <c r="F10" s="14">
        <v>0</v>
      </c>
      <c r="G10" s="6"/>
      <c r="H10" s="6"/>
      <c r="I10" s="6"/>
      <c r="J10" s="4"/>
      <c r="K10" s="14">
        <f>+F10+H10</f>
        <v>0</v>
      </c>
      <c r="L10" s="6">
        <v>12</v>
      </c>
      <c r="M10" s="5"/>
      <c r="N10" s="80">
        <v>0.19969999999999999</v>
      </c>
      <c r="O10" s="10">
        <v>0.5</v>
      </c>
      <c r="P10" s="14">
        <v>1058974.5</v>
      </c>
      <c r="Q10" s="16">
        <v>0</v>
      </c>
      <c r="R10" s="16">
        <v>0</v>
      </c>
      <c r="S10" s="16">
        <v>0</v>
      </c>
      <c r="T10" s="16">
        <v>0</v>
      </c>
      <c r="U10" s="8">
        <v>0</v>
      </c>
      <c r="V10" s="16">
        <f>+P10+Q10+R10+U10</f>
        <v>1058974.5</v>
      </c>
      <c r="W10" s="55">
        <f t="shared" ref="W10:W19" si="0">+K10-R10-U10</f>
        <v>0</v>
      </c>
      <c r="X10" s="76"/>
      <c r="Y10" s="77"/>
    </row>
    <row r="11" spans="1:25" x14ac:dyDescent="0.25">
      <c r="A11" s="153">
        <v>2</v>
      </c>
      <c r="B11" s="22" t="s">
        <v>27</v>
      </c>
      <c r="C11" s="222" t="s">
        <v>724</v>
      </c>
      <c r="D11" s="5" t="s">
        <v>31</v>
      </c>
      <c r="E11" s="7">
        <v>1</v>
      </c>
      <c r="F11" s="15">
        <v>0</v>
      </c>
      <c r="G11" s="7"/>
      <c r="H11" s="7"/>
      <c r="I11" s="7"/>
      <c r="J11" s="5"/>
      <c r="K11" s="15">
        <f>+F11+H11</f>
        <v>0</v>
      </c>
      <c r="L11" s="7">
        <v>12</v>
      </c>
      <c r="M11" s="5"/>
      <c r="N11" s="80">
        <v>0.19969999999999999</v>
      </c>
      <c r="O11" s="18">
        <v>0.5</v>
      </c>
      <c r="P11" s="15">
        <v>175605</v>
      </c>
      <c r="Q11" s="17">
        <v>0</v>
      </c>
      <c r="R11" s="17">
        <v>0</v>
      </c>
      <c r="S11" s="17">
        <v>0</v>
      </c>
      <c r="T11" s="17">
        <v>0</v>
      </c>
      <c r="U11" s="9">
        <v>0</v>
      </c>
      <c r="V11" s="17">
        <f>+P11+Q11+R11+U11</f>
        <v>175605</v>
      </c>
      <c r="W11" s="57">
        <f t="shared" si="0"/>
        <v>0</v>
      </c>
      <c r="X11" s="78"/>
      <c r="Y11" s="75"/>
    </row>
    <row r="12" spans="1:25" x14ac:dyDescent="0.25">
      <c r="A12" s="153">
        <v>3</v>
      </c>
      <c r="B12" s="22" t="s">
        <v>27</v>
      </c>
      <c r="C12" s="222" t="s">
        <v>725</v>
      </c>
      <c r="D12" s="5" t="s">
        <v>30</v>
      </c>
      <c r="E12" s="7">
        <v>1</v>
      </c>
      <c r="F12" s="15">
        <v>0</v>
      </c>
      <c r="G12" s="7"/>
      <c r="H12" s="7"/>
      <c r="I12" s="7"/>
      <c r="J12" s="5"/>
      <c r="K12" s="15">
        <f t="shared" ref="K12:K75" si="1">+F12+H12</f>
        <v>0</v>
      </c>
      <c r="L12" s="7">
        <v>12</v>
      </c>
      <c r="M12" s="5"/>
      <c r="N12" s="80">
        <v>0.19969999999999999</v>
      </c>
      <c r="O12" s="18">
        <v>0.5</v>
      </c>
      <c r="P12" s="15">
        <v>1058974.5</v>
      </c>
      <c r="Q12" s="17">
        <v>0</v>
      </c>
      <c r="R12" s="17">
        <v>0</v>
      </c>
      <c r="S12" s="17">
        <v>0</v>
      </c>
      <c r="T12" s="17">
        <v>0</v>
      </c>
      <c r="U12" s="9">
        <v>0</v>
      </c>
      <c r="V12" s="17">
        <f t="shared" ref="V12:V75" si="2">+P12+Q12+R12+U12</f>
        <v>1058974.5</v>
      </c>
      <c r="W12" s="57">
        <f t="shared" si="0"/>
        <v>0</v>
      </c>
      <c r="X12" s="78"/>
      <c r="Y12" s="75"/>
    </row>
    <row r="13" spans="1:25" x14ac:dyDescent="0.25">
      <c r="A13" s="153">
        <v>4</v>
      </c>
      <c r="B13" s="22" t="s">
        <v>27</v>
      </c>
      <c r="C13" s="222" t="s">
        <v>726</v>
      </c>
      <c r="D13" s="5" t="s">
        <v>31</v>
      </c>
      <c r="E13" s="7">
        <v>1</v>
      </c>
      <c r="F13" s="15">
        <v>0</v>
      </c>
      <c r="G13" s="7"/>
      <c r="H13" s="7"/>
      <c r="I13" s="7"/>
      <c r="J13" s="5"/>
      <c r="K13" s="15">
        <f t="shared" si="1"/>
        <v>0</v>
      </c>
      <c r="L13" s="7">
        <v>12</v>
      </c>
      <c r="M13" s="5"/>
      <c r="N13" s="80">
        <v>0.19969999999999999</v>
      </c>
      <c r="O13" s="18">
        <v>0.5</v>
      </c>
      <c r="P13" s="15">
        <v>175605</v>
      </c>
      <c r="Q13" s="17">
        <v>0</v>
      </c>
      <c r="R13" s="17">
        <v>0</v>
      </c>
      <c r="S13" s="17">
        <v>0</v>
      </c>
      <c r="T13" s="17">
        <v>0</v>
      </c>
      <c r="U13" s="9">
        <v>0</v>
      </c>
      <c r="V13" s="17">
        <f t="shared" si="2"/>
        <v>175605</v>
      </c>
      <c r="W13" s="57">
        <f t="shared" si="0"/>
        <v>0</v>
      </c>
      <c r="X13" s="78"/>
      <c r="Y13" s="75"/>
    </row>
    <row r="14" spans="1:25" x14ac:dyDescent="0.25">
      <c r="A14" s="153">
        <v>5</v>
      </c>
      <c r="B14" s="22" t="s">
        <v>27</v>
      </c>
      <c r="C14" s="222" t="s">
        <v>727</v>
      </c>
      <c r="D14" s="5" t="s">
        <v>241</v>
      </c>
      <c r="E14" s="7">
        <v>1</v>
      </c>
      <c r="F14" s="15">
        <v>0</v>
      </c>
      <c r="G14" s="7"/>
      <c r="H14" s="7"/>
      <c r="I14" s="7"/>
      <c r="J14" s="5"/>
      <c r="K14" s="15">
        <f t="shared" si="1"/>
        <v>0</v>
      </c>
      <c r="L14" s="7">
        <v>12</v>
      </c>
      <c r="M14" s="5"/>
      <c r="N14" s="80">
        <v>0.19969999999999999</v>
      </c>
      <c r="O14" s="18">
        <v>0.5</v>
      </c>
      <c r="P14" s="15">
        <v>1058974.5</v>
      </c>
      <c r="Q14" s="17">
        <v>0</v>
      </c>
      <c r="R14" s="17">
        <v>0</v>
      </c>
      <c r="S14" s="17">
        <v>0</v>
      </c>
      <c r="T14" s="17">
        <v>0</v>
      </c>
      <c r="U14" s="9">
        <v>0</v>
      </c>
      <c r="V14" s="17">
        <f t="shared" si="2"/>
        <v>1058974.5</v>
      </c>
      <c r="W14" s="57">
        <f t="shared" si="0"/>
        <v>0</v>
      </c>
      <c r="X14" s="78"/>
      <c r="Y14" s="75"/>
    </row>
    <row r="15" spans="1:25" x14ac:dyDescent="0.25">
      <c r="A15" s="153">
        <v>6</v>
      </c>
      <c r="B15" s="22" t="s">
        <v>27</v>
      </c>
      <c r="C15" s="222" t="s">
        <v>728</v>
      </c>
      <c r="D15" s="5" t="s">
        <v>31</v>
      </c>
      <c r="E15" s="7">
        <v>1</v>
      </c>
      <c r="F15" s="15">
        <v>0</v>
      </c>
      <c r="G15" s="7"/>
      <c r="H15" s="7"/>
      <c r="I15" s="7"/>
      <c r="J15" s="5"/>
      <c r="K15" s="15">
        <f t="shared" si="1"/>
        <v>0</v>
      </c>
      <c r="L15" s="7">
        <v>12</v>
      </c>
      <c r="M15" s="5"/>
      <c r="N15" s="80">
        <v>0.19969999999999999</v>
      </c>
      <c r="O15" s="18">
        <v>0.5</v>
      </c>
      <c r="P15" s="15">
        <v>175605</v>
      </c>
      <c r="Q15" s="17">
        <v>0</v>
      </c>
      <c r="R15" s="17">
        <v>0</v>
      </c>
      <c r="S15" s="17">
        <v>0</v>
      </c>
      <c r="T15" s="17">
        <v>0</v>
      </c>
      <c r="U15" s="9">
        <v>0</v>
      </c>
      <c r="V15" s="17">
        <f t="shared" si="2"/>
        <v>175605</v>
      </c>
      <c r="W15" s="57">
        <f t="shared" si="0"/>
        <v>0</v>
      </c>
      <c r="X15" s="78"/>
      <c r="Y15" s="75"/>
    </row>
    <row r="16" spans="1:25" x14ac:dyDescent="0.25">
      <c r="A16" s="153">
        <v>13</v>
      </c>
      <c r="B16" s="22" t="s">
        <v>27</v>
      </c>
      <c r="C16" s="222" t="s">
        <v>729</v>
      </c>
      <c r="D16" s="7" t="s">
        <v>28</v>
      </c>
      <c r="E16" s="7">
        <v>1</v>
      </c>
      <c r="F16" s="15">
        <v>0</v>
      </c>
      <c r="G16" s="7"/>
      <c r="H16" s="7"/>
      <c r="I16" s="7"/>
      <c r="J16" s="5"/>
      <c r="K16" s="15">
        <f t="shared" si="1"/>
        <v>0</v>
      </c>
      <c r="L16" s="7">
        <v>12</v>
      </c>
      <c r="M16" s="5"/>
      <c r="N16" s="80">
        <v>0.19969999999999999</v>
      </c>
      <c r="O16" s="18">
        <v>0.5</v>
      </c>
      <c r="P16" s="15">
        <v>325216.67</v>
      </c>
      <c r="Q16" s="17">
        <f>+'[1]CEDAR 032=01,80'!O16+'[1]CEDAR 032=01,80'!P16</f>
        <v>275183.33</v>
      </c>
      <c r="R16" s="17">
        <v>0</v>
      </c>
      <c r="S16" s="17">
        <v>0</v>
      </c>
      <c r="T16" s="17">
        <f>+U16/12</f>
        <v>0</v>
      </c>
      <c r="U16" s="17">
        <v>0</v>
      </c>
      <c r="V16" s="17">
        <f t="shared" si="2"/>
        <v>600400</v>
      </c>
      <c r="W16" s="57">
        <f t="shared" si="0"/>
        <v>0</v>
      </c>
      <c r="X16" s="78">
        <f>+T16*9</f>
        <v>0</v>
      </c>
      <c r="Y16" s="75">
        <f t="shared" ref="Y16:Y47" si="3">+K16-P16-Q16-X16</f>
        <v>-600400</v>
      </c>
    </row>
    <row r="17" spans="1:27" x14ac:dyDescent="0.25">
      <c r="A17" s="153">
        <v>14</v>
      </c>
      <c r="B17" s="22" t="s">
        <v>27</v>
      </c>
      <c r="C17" s="222" t="s">
        <v>730</v>
      </c>
      <c r="D17" s="7" t="s">
        <v>28</v>
      </c>
      <c r="E17" s="7">
        <v>1</v>
      </c>
      <c r="F17" s="15">
        <v>0</v>
      </c>
      <c r="G17" s="7"/>
      <c r="H17" s="7"/>
      <c r="I17" s="7"/>
      <c r="J17" s="5"/>
      <c r="K17" s="15">
        <f t="shared" si="1"/>
        <v>0</v>
      </c>
      <c r="L17" s="7">
        <v>12</v>
      </c>
      <c r="M17" s="5"/>
      <c r="N17" s="80">
        <v>0.19969999999999999</v>
      </c>
      <c r="O17" s="18">
        <v>0.5</v>
      </c>
      <c r="P17" s="15">
        <v>325216.67</v>
      </c>
      <c r="Q17" s="17">
        <f>+'[1]CEDAR 032=01,80'!O17+'[1]CEDAR 032=01,80'!P17</f>
        <v>275183.33</v>
      </c>
      <c r="R17" s="17">
        <v>0</v>
      </c>
      <c r="S17" s="17">
        <v>0</v>
      </c>
      <c r="T17" s="17">
        <f t="shared" ref="T17:T75" si="4">+U17/12</f>
        <v>0</v>
      </c>
      <c r="U17" s="17">
        <v>0</v>
      </c>
      <c r="V17" s="17">
        <f t="shared" si="2"/>
        <v>600400</v>
      </c>
      <c r="W17" s="57">
        <f t="shared" si="0"/>
        <v>0</v>
      </c>
      <c r="X17" s="78">
        <f t="shared" ref="X17:X74" si="5">+T17*9</f>
        <v>0</v>
      </c>
      <c r="Y17" s="75">
        <f t="shared" si="3"/>
        <v>-600400</v>
      </c>
    </row>
    <row r="18" spans="1:27" x14ac:dyDescent="0.25">
      <c r="A18" s="153">
        <v>15</v>
      </c>
      <c r="B18" s="22" t="s">
        <v>27</v>
      </c>
      <c r="C18" s="222" t="s">
        <v>731</v>
      </c>
      <c r="D18" s="7" t="s">
        <v>28</v>
      </c>
      <c r="E18" s="7">
        <v>1</v>
      </c>
      <c r="F18" s="15">
        <v>0</v>
      </c>
      <c r="G18" s="7"/>
      <c r="H18" s="7"/>
      <c r="I18" s="7"/>
      <c r="J18" s="5"/>
      <c r="K18" s="15">
        <f t="shared" si="1"/>
        <v>0</v>
      </c>
      <c r="L18" s="7">
        <v>12</v>
      </c>
      <c r="M18" s="5"/>
      <c r="N18" s="80">
        <v>0.19969999999999999</v>
      </c>
      <c r="O18" s="18">
        <v>0.5</v>
      </c>
      <c r="P18" s="15">
        <v>325216.67</v>
      </c>
      <c r="Q18" s="17">
        <f>+'[1]CEDAR 032=01,80'!O18+'[1]CEDAR 032=01,80'!P18</f>
        <v>275183.33</v>
      </c>
      <c r="R18" s="17">
        <v>0</v>
      </c>
      <c r="S18" s="17">
        <v>0</v>
      </c>
      <c r="T18" s="17">
        <f t="shared" si="4"/>
        <v>0</v>
      </c>
      <c r="U18" s="17">
        <v>0</v>
      </c>
      <c r="V18" s="17">
        <f t="shared" si="2"/>
        <v>600400</v>
      </c>
      <c r="W18" s="57">
        <f t="shared" si="0"/>
        <v>0</v>
      </c>
      <c r="X18" s="78">
        <f t="shared" si="5"/>
        <v>0</v>
      </c>
      <c r="Y18" s="75">
        <f t="shared" si="3"/>
        <v>-600400</v>
      </c>
    </row>
    <row r="19" spans="1:27" x14ac:dyDescent="0.25">
      <c r="A19" s="153">
        <v>16</v>
      </c>
      <c r="B19" s="22" t="s">
        <v>27</v>
      </c>
      <c r="C19" s="222" t="s">
        <v>732</v>
      </c>
      <c r="D19" s="7" t="s">
        <v>28</v>
      </c>
      <c r="E19" s="7">
        <v>1</v>
      </c>
      <c r="F19" s="15">
        <v>0</v>
      </c>
      <c r="G19" s="7"/>
      <c r="H19" s="7"/>
      <c r="I19" s="7"/>
      <c r="J19" s="5"/>
      <c r="K19" s="15">
        <f t="shared" si="1"/>
        <v>0</v>
      </c>
      <c r="L19" s="7">
        <v>12</v>
      </c>
      <c r="M19" s="5"/>
      <c r="N19" s="80">
        <v>0.19969999999999999</v>
      </c>
      <c r="O19" s="18">
        <v>0.5</v>
      </c>
      <c r="P19" s="15">
        <v>325216.67</v>
      </c>
      <c r="Q19" s="17">
        <f>+'[1]CEDAR 032=01,80'!O19+'[1]CEDAR 032=01,80'!P19</f>
        <v>275183.33</v>
      </c>
      <c r="R19" s="17">
        <v>0</v>
      </c>
      <c r="S19" s="17">
        <v>0</v>
      </c>
      <c r="T19" s="17">
        <f t="shared" si="4"/>
        <v>0</v>
      </c>
      <c r="U19" s="17">
        <v>0</v>
      </c>
      <c r="V19" s="17">
        <f t="shared" si="2"/>
        <v>600400</v>
      </c>
      <c r="W19" s="57">
        <f t="shared" si="0"/>
        <v>0</v>
      </c>
      <c r="X19" s="78">
        <f t="shared" si="5"/>
        <v>0</v>
      </c>
      <c r="Y19" s="75">
        <f t="shared" si="3"/>
        <v>-600400</v>
      </c>
    </row>
    <row r="20" spans="1:27" x14ac:dyDescent="0.25">
      <c r="A20" s="153">
        <v>17</v>
      </c>
      <c r="B20" s="22" t="s">
        <v>27</v>
      </c>
      <c r="C20" s="222" t="s">
        <v>733</v>
      </c>
      <c r="D20" s="7" t="s">
        <v>28</v>
      </c>
      <c r="E20" s="7">
        <v>1</v>
      </c>
      <c r="F20" s="15">
        <v>544540</v>
      </c>
      <c r="G20" s="7"/>
      <c r="H20" s="7"/>
      <c r="I20" s="7"/>
      <c r="J20" s="5"/>
      <c r="K20" s="15">
        <f>+F20+H20</f>
        <v>544540</v>
      </c>
      <c r="L20" s="7">
        <v>12</v>
      </c>
      <c r="M20" s="5"/>
      <c r="N20" s="80">
        <v>0.19969999999999999</v>
      </c>
      <c r="O20" s="18">
        <v>0.25</v>
      </c>
      <c r="P20" s="15">
        <v>272270</v>
      </c>
      <c r="Q20" s="17">
        <f>+'[1]CEDAR 032=01,80'!O20+'[1]CEDAR 032=01,80'!P20</f>
        <v>272270</v>
      </c>
      <c r="R20" s="17">
        <v>136135</v>
      </c>
      <c r="S20" s="17">
        <v>108744.63799999999</v>
      </c>
      <c r="T20" s="17">
        <f t="shared" si="4"/>
        <v>9062.0531666666666</v>
      </c>
      <c r="U20" s="17">
        <f t="shared" ref="U20:U31" si="6">+F20*N20</f>
        <v>108744.63799999999</v>
      </c>
      <c r="V20" s="17">
        <f t="shared" si="2"/>
        <v>789419.63800000004</v>
      </c>
      <c r="W20" s="57">
        <f>+K20-R20-S20-U20</f>
        <v>190915.72400000005</v>
      </c>
      <c r="X20" s="78">
        <f t="shared" si="5"/>
        <v>81558.478499999997</v>
      </c>
      <c r="Y20" s="75">
        <f t="shared" si="3"/>
        <v>-81558.478499999997</v>
      </c>
    </row>
    <row r="21" spans="1:27" x14ac:dyDescent="0.25">
      <c r="A21" s="153">
        <v>18</v>
      </c>
      <c r="B21" s="22" t="s">
        <v>27</v>
      </c>
      <c r="C21" s="222" t="s">
        <v>734</v>
      </c>
      <c r="D21" s="7" t="s">
        <v>28</v>
      </c>
      <c r="E21" s="7">
        <v>1</v>
      </c>
      <c r="F21" s="15">
        <v>544540</v>
      </c>
      <c r="G21" s="7"/>
      <c r="H21" s="7"/>
      <c r="I21" s="7"/>
      <c r="J21" s="5"/>
      <c r="K21" s="15">
        <f t="shared" si="1"/>
        <v>544540</v>
      </c>
      <c r="L21" s="7">
        <v>12</v>
      </c>
      <c r="M21" s="5"/>
      <c r="N21" s="80">
        <v>0.19969999999999999</v>
      </c>
      <c r="O21" s="18">
        <v>0.25</v>
      </c>
      <c r="P21" s="15">
        <v>272270</v>
      </c>
      <c r="Q21" s="17">
        <f>+'[1]CEDAR 032=01,80'!O21+'[1]CEDAR 032=01,80'!P21</f>
        <v>272270</v>
      </c>
      <c r="R21" s="17">
        <v>136135</v>
      </c>
      <c r="S21" s="17">
        <v>108744.63799999999</v>
      </c>
      <c r="T21" s="17">
        <f t="shared" si="4"/>
        <v>9062.0531666666666</v>
      </c>
      <c r="U21" s="17">
        <f t="shared" si="6"/>
        <v>108744.63799999999</v>
      </c>
      <c r="V21" s="17">
        <f t="shared" si="2"/>
        <v>789419.63800000004</v>
      </c>
      <c r="W21" s="57">
        <f t="shared" ref="W21:W76" si="7">+K21-R21-S21-U21</f>
        <v>190915.72400000005</v>
      </c>
      <c r="X21" s="78">
        <f t="shared" si="5"/>
        <v>81558.478499999997</v>
      </c>
      <c r="Y21" s="75">
        <f t="shared" si="3"/>
        <v>-81558.478499999997</v>
      </c>
      <c r="Z21" s="15"/>
      <c r="AA21" s="15"/>
    </row>
    <row r="22" spans="1:27" x14ac:dyDescent="0.25">
      <c r="A22" s="153">
        <v>19</v>
      </c>
      <c r="B22" s="22" t="s">
        <v>27</v>
      </c>
      <c r="C22" s="222" t="s">
        <v>735</v>
      </c>
      <c r="D22" s="7" t="s">
        <v>28</v>
      </c>
      <c r="E22" s="7">
        <v>1</v>
      </c>
      <c r="F22" s="15">
        <v>544540</v>
      </c>
      <c r="G22" s="7"/>
      <c r="H22" s="7"/>
      <c r="I22" s="7"/>
      <c r="J22" s="5"/>
      <c r="K22" s="15">
        <f t="shared" si="1"/>
        <v>544540</v>
      </c>
      <c r="L22" s="7">
        <v>12</v>
      </c>
      <c r="M22" s="5"/>
      <c r="N22" s="80">
        <v>0.19969999999999999</v>
      </c>
      <c r="O22" s="18">
        <v>0.25</v>
      </c>
      <c r="P22" s="15">
        <v>272270</v>
      </c>
      <c r="Q22" s="17">
        <f>+'[1]CEDAR 032=01,80'!O22+'[1]CEDAR 032=01,80'!P22</f>
        <v>272270</v>
      </c>
      <c r="R22" s="17">
        <v>136135</v>
      </c>
      <c r="S22" s="17">
        <v>108744.63799999999</v>
      </c>
      <c r="T22" s="17">
        <f t="shared" si="4"/>
        <v>9062.0531666666666</v>
      </c>
      <c r="U22" s="17">
        <f>+F22*N22</f>
        <v>108744.63799999999</v>
      </c>
      <c r="V22" s="17">
        <f t="shared" si="2"/>
        <v>789419.63800000004</v>
      </c>
      <c r="W22" s="57">
        <f t="shared" si="7"/>
        <v>190915.72400000005</v>
      </c>
      <c r="X22" s="78">
        <f t="shared" si="5"/>
        <v>81558.478499999997</v>
      </c>
      <c r="Y22" s="75">
        <f t="shared" si="3"/>
        <v>-81558.478499999997</v>
      </c>
    </row>
    <row r="23" spans="1:27" x14ac:dyDescent="0.25">
      <c r="A23" s="153">
        <v>20</v>
      </c>
      <c r="B23" s="22" t="s">
        <v>27</v>
      </c>
      <c r="C23" s="222" t="s">
        <v>736</v>
      </c>
      <c r="D23" s="7" t="s">
        <v>28</v>
      </c>
      <c r="E23" s="7">
        <v>1</v>
      </c>
      <c r="F23" s="15">
        <v>544540</v>
      </c>
      <c r="G23" s="7"/>
      <c r="H23" s="7"/>
      <c r="I23" s="7"/>
      <c r="J23" s="5"/>
      <c r="K23" s="15">
        <f t="shared" si="1"/>
        <v>544540</v>
      </c>
      <c r="L23" s="7">
        <v>12</v>
      </c>
      <c r="M23" s="5"/>
      <c r="N23" s="80">
        <v>0.19969999999999999</v>
      </c>
      <c r="O23" s="18">
        <v>0.25</v>
      </c>
      <c r="P23" s="15">
        <v>272270</v>
      </c>
      <c r="Q23" s="17">
        <f>+'[1]CEDAR 032=01,80'!O23+'[1]CEDAR 032=01,80'!P23</f>
        <v>272270</v>
      </c>
      <c r="R23" s="17">
        <v>136135</v>
      </c>
      <c r="S23" s="17">
        <v>108744.63799999999</v>
      </c>
      <c r="T23" s="17">
        <f t="shared" si="4"/>
        <v>9062.0531666666666</v>
      </c>
      <c r="U23" s="17">
        <f t="shared" si="6"/>
        <v>108744.63799999999</v>
      </c>
      <c r="V23" s="17">
        <f t="shared" si="2"/>
        <v>789419.63800000004</v>
      </c>
      <c r="W23" s="57">
        <f t="shared" si="7"/>
        <v>190915.72400000005</v>
      </c>
      <c r="X23" s="78">
        <f t="shared" si="5"/>
        <v>81558.478499999997</v>
      </c>
      <c r="Y23" s="75">
        <f t="shared" si="3"/>
        <v>-81558.478499999997</v>
      </c>
    </row>
    <row r="24" spans="1:27" x14ac:dyDescent="0.25">
      <c r="A24" s="153">
        <v>21</v>
      </c>
      <c r="B24" s="22" t="s">
        <v>27</v>
      </c>
      <c r="C24" s="222" t="s">
        <v>737</v>
      </c>
      <c r="D24" s="7" t="s">
        <v>28</v>
      </c>
      <c r="E24" s="7">
        <v>1</v>
      </c>
      <c r="F24" s="15">
        <v>544540</v>
      </c>
      <c r="G24" s="7"/>
      <c r="H24" s="7"/>
      <c r="I24" s="7"/>
      <c r="J24" s="5"/>
      <c r="K24" s="15">
        <f t="shared" si="1"/>
        <v>544540</v>
      </c>
      <c r="L24" s="7">
        <v>12</v>
      </c>
      <c r="M24" s="5"/>
      <c r="N24" s="80">
        <v>0.19969999999999999</v>
      </c>
      <c r="O24" s="18">
        <v>0.25</v>
      </c>
      <c r="P24" s="15">
        <v>272270</v>
      </c>
      <c r="Q24" s="17">
        <f>+'[1]CEDAR 032=01,80'!O24+'[1]CEDAR 032=01,80'!P24</f>
        <v>272270</v>
      </c>
      <c r="R24" s="17">
        <v>136135</v>
      </c>
      <c r="S24" s="17">
        <v>108744.63799999999</v>
      </c>
      <c r="T24" s="17">
        <f t="shared" si="4"/>
        <v>9062.0531666666666</v>
      </c>
      <c r="U24" s="17">
        <f t="shared" si="6"/>
        <v>108744.63799999999</v>
      </c>
      <c r="V24" s="17">
        <f t="shared" si="2"/>
        <v>789419.63800000004</v>
      </c>
      <c r="W24" s="57">
        <f t="shared" si="7"/>
        <v>190915.72400000005</v>
      </c>
      <c r="X24" s="78">
        <f t="shared" si="5"/>
        <v>81558.478499999997</v>
      </c>
      <c r="Y24" s="75">
        <f t="shared" si="3"/>
        <v>-81558.478499999997</v>
      </c>
    </row>
    <row r="25" spans="1:27" x14ac:dyDescent="0.25">
      <c r="A25" s="153">
        <v>22</v>
      </c>
      <c r="B25" s="22" t="s">
        <v>27</v>
      </c>
      <c r="C25" s="222" t="s">
        <v>738</v>
      </c>
      <c r="D25" s="7" t="s">
        <v>28</v>
      </c>
      <c r="E25" s="7">
        <v>1</v>
      </c>
      <c r="F25" s="15">
        <v>582160</v>
      </c>
      <c r="G25" s="7"/>
      <c r="H25" s="7"/>
      <c r="I25" s="7"/>
      <c r="J25" s="5"/>
      <c r="K25" s="15">
        <f t="shared" si="1"/>
        <v>582160</v>
      </c>
      <c r="L25" s="7">
        <v>12</v>
      </c>
      <c r="M25" s="5"/>
      <c r="N25" s="80">
        <v>0.19969999999999999</v>
      </c>
      <c r="O25" s="18">
        <v>0.25</v>
      </c>
      <c r="P25" s="17">
        <v>291080</v>
      </c>
      <c r="Q25" s="17">
        <f>+'[1]CEDAR 032=01,80'!O25+'[1]CEDAR 032=01,80'!P25</f>
        <v>291080</v>
      </c>
      <c r="R25" s="17">
        <v>145540</v>
      </c>
      <c r="S25" s="17">
        <v>116257.352</v>
      </c>
      <c r="T25" s="17">
        <f t="shared" si="4"/>
        <v>9688.112666666666</v>
      </c>
      <c r="U25" s="17">
        <f t="shared" si="6"/>
        <v>116257.352</v>
      </c>
      <c r="V25" s="17">
        <f t="shared" si="2"/>
        <v>843957.35199999996</v>
      </c>
      <c r="W25" s="57">
        <f t="shared" si="7"/>
        <v>204105.29599999997</v>
      </c>
      <c r="X25" s="78">
        <f t="shared" si="5"/>
        <v>87193.013999999996</v>
      </c>
      <c r="Y25" s="75">
        <f t="shared" si="3"/>
        <v>-87193.013999999996</v>
      </c>
    </row>
    <row r="26" spans="1:27" x14ac:dyDescent="0.25">
      <c r="A26" s="153">
        <v>23</v>
      </c>
      <c r="B26" s="22" t="s">
        <v>27</v>
      </c>
      <c r="C26" s="222" t="s">
        <v>739</v>
      </c>
      <c r="D26" s="7" t="s">
        <v>32</v>
      </c>
      <c r="E26" s="7">
        <v>1</v>
      </c>
      <c r="F26" s="15">
        <v>92530</v>
      </c>
      <c r="G26" s="7"/>
      <c r="H26" s="7"/>
      <c r="I26" s="7"/>
      <c r="J26" s="5"/>
      <c r="K26" s="15">
        <f t="shared" si="1"/>
        <v>92530</v>
      </c>
      <c r="L26" s="7">
        <v>12</v>
      </c>
      <c r="M26" s="5"/>
      <c r="N26" s="80">
        <v>0.19969999999999999</v>
      </c>
      <c r="O26" s="18">
        <v>0.25</v>
      </c>
      <c r="P26" s="17">
        <v>46265</v>
      </c>
      <c r="Q26" s="17">
        <f>+'[1]CEDAR 032=01,80'!O26+'[1]CEDAR 032=01,80'!P26</f>
        <v>46265</v>
      </c>
      <c r="R26" s="17">
        <v>23132.5</v>
      </c>
      <c r="S26" s="17">
        <v>18478.240999999998</v>
      </c>
      <c r="T26" s="17">
        <f t="shared" si="4"/>
        <v>1539.8534166666666</v>
      </c>
      <c r="U26" s="17">
        <f t="shared" si="6"/>
        <v>18478.240999999998</v>
      </c>
      <c r="V26" s="17">
        <f t="shared" si="2"/>
        <v>134140.74100000001</v>
      </c>
      <c r="W26" s="57">
        <f t="shared" si="7"/>
        <v>32441.018000000007</v>
      </c>
      <c r="X26" s="78">
        <f t="shared" si="5"/>
        <v>13858.68075</v>
      </c>
      <c r="Y26" s="75">
        <f t="shared" si="3"/>
        <v>-13858.68075</v>
      </c>
    </row>
    <row r="27" spans="1:27" x14ac:dyDescent="0.25">
      <c r="A27" s="153">
        <v>24</v>
      </c>
      <c r="B27" s="22" t="s">
        <v>27</v>
      </c>
      <c r="C27" s="222" t="s">
        <v>740</v>
      </c>
      <c r="D27" s="7" t="s">
        <v>32</v>
      </c>
      <c r="E27" s="7">
        <v>1</v>
      </c>
      <c r="F27" s="15">
        <v>92530</v>
      </c>
      <c r="G27" s="7"/>
      <c r="H27" s="7"/>
      <c r="I27" s="7"/>
      <c r="J27" s="5"/>
      <c r="K27" s="15">
        <f t="shared" si="1"/>
        <v>92530</v>
      </c>
      <c r="L27" s="7">
        <v>12</v>
      </c>
      <c r="M27" s="5"/>
      <c r="N27" s="80">
        <v>0.19969999999999999</v>
      </c>
      <c r="O27" s="18">
        <v>0.25</v>
      </c>
      <c r="P27" s="15">
        <v>46265</v>
      </c>
      <c r="Q27" s="17">
        <f>+'[1]CEDAR 032=01,80'!O27+'[1]CEDAR 032=01,80'!P27</f>
        <v>46265</v>
      </c>
      <c r="R27" s="17">
        <v>23132.5</v>
      </c>
      <c r="S27" s="17">
        <v>18478.240999999998</v>
      </c>
      <c r="T27" s="17">
        <f t="shared" si="4"/>
        <v>1539.8534166666666</v>
      </c>
      <c r="U27" s="17">
        <f t="shared" si="6"/>
        <v>18478.240999999998</v>
      </c>
      <c r="V27" s="17">
        <f t="shared" si="2"/>
        <v>134140.74100000001</v>
      </c>
      <c r="W27" s="57">
        <f t="shared" si="7"/>
        <v>32441.018000000007</v>
      </c>
      <c r="X27" s="78">
        <f t="shared" si="5"/>
        <v>13858.68075</v>
      </c>
      <c r="Y27" s="75">
        <f t="shared" si="3"/>
        <v>-13858.68075</v>
      </c>
    </row>
    <row r="28" spans="1:27" x14ac:dyDescent="0.25">
      <c r="A28" s="153">
        <v>25</v>
      </c>
      <c r="B28" s="22" t="s">
        <v>27</v>
      </c>
      <c r="C28" s="222" t="s">
        <v>741</v>
      </c>
      <c r="D28" s="7" t="s">
        <v>32</v>
      </c>
      <c r="E28" s="7">
        <v>1</v>
      </c>
      <c r="F28" s="15">
        <v>92530</v>
      </c>
      <c r="G28" s="7"/>
      <c r="H28" s="7"/>
      <c r="I28" s="7"/>
      <c r="J28" s="5"/>
      <c r="K28" s="15">
        <f t="shared" si="1"/>
        <v>92530</v>
      </c>
      <c r="L28" s="7">
        <v>12</v>
      </c>
      <c r="M28" s="5"/>
      <c r="N28" s="80">
        <v>0.19969999999999999</v>
      </c>
      <c r="O28" s="18">
        <v>0.25</v>
      </c>
      <c r="P28" s="15">
        <v>46265</v>
      </c>
      <c r="Q28" s="17">
        <f>+'[1]CEDAR 032=01,80'!O28+'[1]CEDAR 032=01,80'!P28</f>
        <v>46265</v>
      </c>
      <c r="R28" s="17">
        <v>23132.5</v>
      </c>
      <c r="S28" s="17">
        <v>18478.240999999998</v>
      </c>
      <c r="T28" s="17">
        <f t="shared" si="4"/>
        <v>1539.8534166666666</v>
      </c>
      <c r="U28" s="17">
        <f t="shared" si="6"/>
        <v>18478.240999999998</v>
      </c>
      <c r="V28" s="17">
        <f t="shared" si="2"/>
        <v>134140.74100000001</v>
      </c>
      <c r="W28" s="57">
        <f t="shared" si="7"/>
        <v>32441.018000000007</v>
      </c>
      <c r="X28" s="78">
        <f t="shared" si="5"/>
        <v>13858.68075</v>
      </c>
      <c r="Y28" s="75">
        <f t="shared" si="3"/>
        <v>-13858.68075</v>
      </c>
    </row>
    <row r="29" spans="1:27" x14ac:dyDescent="0.25">
      <c r="A29" s="153">
        <v>26</v>
      </c>
      <c r="B29" s="22" t="s">
        <v>27</v>
      </c>
      <c r="C29" s="222" t="s">
        <v>742</v>
      </c>
      <c r="D29" s="7" t="s">
        <v>32</v>
      </c>
      <c r="E29" s="7">
        <v>1</v>
      </c>
      <c r="F29" s="15">
        <v>92530</v>
      </c>
      <c r="G29" s="7"/>
      <c r="H29" s="7"/>
      <c r="I29" s="7"/>
      <c r="J29" s="5"/>
      <c r="K29" s="15">
        <f t="shared" si="1"/>
        <v>92530</v>
      </c>
      <c r="L29" s="7">
        <v>12</v>
      </c>
      <c r="M29" s="5"/>
      <c r="N29" s="80">
        <v>0.19969999999999999</v>
      </c>
      <c r="O29" s="18">
        <v>0.25</v>
      </c>
      <c r="P29" s="15">
        <v>46265</v>
      </c>
      <c r="Q29" s="17">
        <f>+'[1]CEDAR 032=01,80'!O29+'[1]CEDAR 032=01,80'!P29</f>
        <v>46265</v>
      </c>
      <c r="R29" s="17">
        <v>23132.5</v>
      </c>
      <c r="S29" s="17">
        <v>18478.240999999998</v>
      </c>
      <c r="T29" s="17">
        <f t="shared" si="4"/>
        <v>1539.8534166666666</v>
      </c>
      <c r="U29" s="17">
        <f t="shared" si="6"/>
        <v>18478.240999999998</v>
      </c>
      <c r="V29" s="17">
        <f t="shared" si="2"/>
        <v>134140.74100000001</v>
      </c>
      <c r="W29" s="57">
        <f t="shared" si="7"/>
        <v>32441.018000000007</v>
      </c>
      <c r="X29" s="78">
        <f t="shared" si="5"/>
        <v>13858.68075</v>
      </c>
      <c r="Y29" s="75">
        <f t="shared" si="3"/>
        <v>-13858.68075</v>
      </c>
    </row>
    <row r="30" spans="1:27" x14ac:dyDescent="0.25">
      <c r="A30" s="153">
        <v>27</v>
      </c>
      <c r="B30" s="22" t="s">
        <v>27</v>
      </c>
      <c r="C30" s="222" t="s">
        <v>743</v>
      </c>
      <c r="D30" s="7" t="s">
        <v>32</v>
      </c>
      <c r="E30" s="7">
        <v>1</v>
      </c>
      <c r="F30" s="15">
        <v>92530</v>
      </c>
      <c r="G30" s="7"/>
      <c r="H30" s="7"/>
      <c r="I30" s="7"/>
      <c r="J30" s="5"/>
      <c r="K30" s="15">
        <f t="shared" si="1"/>
        <v>92530</v>
      </c>
      <c r="L30" s="7">
        <v>12</v>
      </c>
      <c r="M30" s="5"/>
      <c r="N30" s="80">
        <v>0.19969999999999999</v>
      </c>
      <c r="O30" s="18">
        <v>0.25</v>
      </c>
      <c r="P30" s="15">
        <v>46265</v>
      </c>
      <c r="Q30" s="17">
        <f>+'[1]CEDAR 032=01,80'!O30+'[1]CEDAR 032=01,80'!P30</f>
        <v>46265</v>
      </c>
      <c r="R30" s="17">
        <v>23132.5</v>
      </c>
      <c r="S30" s="17">
        <v>18478.240999999998</v>
      </c>
      <c r="T30" s="17">
        <f t="shared" si="4"/>
        <v>1539.8534166666666</v>
      </c>
      <c r="U30" s="17">
        <f t="shared" si="6"/>
        <v>18478.240999999998</v>
      </c>
      <c r="V30" s="17">
        <f t="shared" si="2"/>
        <v>134140.74100000001</v>
      </c>
      <c r="W30" s="57">
        <f t="shared" si="7"/>
        <v>32441.018000000007</v>
      </c>
      <c r="X30" s="78">
        <f t="shared" si="5"/>
        <v>13858.68075</v>
      </c>
      <c r="Y30" s="75">
        <f t="shared" si="3"/>
        <v>-13858.68075</v>
      </c>
    </row>
    <row r="31" spans="1:27" x14ac:dyDescent="0.25">
      <c r="A31" s="153">
        <v>28</v>
      </c>
      <c r="B31" s="22" t="s">
        <v>27</v>
      </c>
      <c r="C31" s="222" t="s">
        <v>744</v>
      </c>
      <c r="D31" s="7" t="s">
        <v>32</v>
      </c>
      <c r="E31" s="7">
        <v>1</v>
      </c>
      <c r="F31" s="15">
        <v>92530</v>
      </c>
      <c r="G31" s="7"/>
      <c r="H31" s="7"/>
      <c r="I31" s="7"/>
      <c r="J31" s="5"/>
      <c r="K31" s="15">
        <f t="shared" si="1"/>
        <v>92530</v>
      </c>
      <c r="L31" s="7">
        <v>12</v>
      </c>
      <c r="M31" s="5"/>
      <c r="N31" s="80">
        <v>0.19969999999999999</v>
      </c>
      <c r="O31" s="18">
        <v>0.25</v>
      </c>
      <c r="P31" s="15">
        <v>46265</v>
      </c>
      <c r="Q31" s="17">
        <f>+'[1]CEDAR 032=01,80'!O31+'[1]CEDAR 032=01,80'!P31</f>
        <v>46265</v>
      </c>
      <c r="R31" s="17">
        <v>23132.5</v>
      </c>
      <c r="S31" s="17">
        <v>18478.240999999998</v>
      </c>
      <c r="T31" s="17">
        <f t="shared" si="4"/>
        <v>1539.8534166666666</v>
      </c>
      <c r="U31" s="17">
        <f t="shared" si="6"/>
        <v>18478.240999999998</v>
      </c>
      <c r="V31" s="17">
        <f t="shared" si="2"/>
        <v>134140.74100000001</v>
      </c>
      <c r="W31" s="57">
        <f t="shared" si="7"/>
        <v>32441.018000000007</v>
      </c>
      <c r="X31" s="78">
        <f t="shared" si="5"/>
        <v>13858.68075</v>
      </c>
      <c r="Y31" s="75">
        <f t="shared" si="3"/>
        <v>-13858.68075</v>
      </c>
    </row>
    <row r="32" spans="1:27" x14ac:dyDescent="0.25">
      <c r="A32" s="153">
        <v>29</v>
      </c>
      <c r="B32" s="22" t="s">
        <v>27</v>
      </c>
      <c r="C32" s="222" t="s">
        <v>745</v>
      </c>
      <c r="D32" s="7" t="s">
        <v>33</v>
      </c>
      <c r="E32" s="7">
        <v>1</v>
      </c>
      <c r="F32" s="15">
        <v>0</v>
      </c>
      <c r="G32" s="7"/>
      <c r="H32" s="7"/>
      <c r="I32" s="7"/>
      <c r="J32" s="5"/>
      <c r="K32" s="15">
        <f t="shared" si="1"/>
        <v>0</v>
      </c>
      <c r="L32" s="7">
        <v>12</v>
      </c>
      <c r="M32" s="5"/>
      <c r="N32" s="80">
        <v>0.19969999999999999</v>
      </c>
      <c r="O32" s="18">
        <v>0.25</v>
      </c>
      <c r="P32" s="15">
        <v>145288.01</v>
      </c>
      <c r="Q32" s="17">
        <f>+'[1]CEDAR 032=01,80'!O32+'[1]CEDAR 032=01,80'!P32</f>
        <v>59824.49</v>
      </c>
      <c r="R32" s="17">
        <v>0</v>
      </c>
      <c r="S32" s="17">
        <v>0</v>
      </c>
      <c r="T32" s="17">
        <f>+U32/2</f>
        <v>0</v>
      </c>
      <c r="U32" s="17">
        <v>0</v>
      </c>
      <c r="V32" s="17">
        <f t="shared" si="2"/>
        <v>205112.5</v>
      </c>
      <c r="W32" s="57">
        <f t="shared" si="7"/>
        <v>0</v>
      </c>
      <c r="X32" s="78">
        <f>U32</f>
        <v>0</v>
      </c>
      <c r="Y32" s="75">
        <f t="shared" si="3"/>
        <v>-205112.5</v>
      </c>
    </row>
    <row r="33" spans="1:25" x14ac:dyDescent="0.25">
      <c r="A33" s="153">
        <v>30</v>
      </c>
      <c r="B33" s="22" t="s">
        <v>27</v>
      </c>
      <c r="C33" s="222" t="s">
        <v>746</v>
      </c>
      <c r="D33" s="7" t="s">
        <v>34</v>
      </c>
      <c r="E33" s="7">
        <v>1</v>
      </c>
      <c r="F33" s="15">
        <v>0</v>
      </c>
      <c r="G33" s="7"/>
      <c r="H33" s="7"/>
      <c r="I33" s="7"/>
      <c r="J33" s="5"/>
      <c r="K33" s="15">
        <f t="shared" si="1"/>
        <v>0</v>
      </c>
      <c r="L33" s="7">
        <v>12</v>
      </c>
      <c r="M33" s="5"/>
      <c r="N33" s="80">
        <v>0.19969999999999999</v>
      </c>
      <c r="O33" s="18">
        <v>0.25</v>
      </c>
      <c r="P33" s="15">
        <v>118282.8</v>
      </c>
      <c r="Q33" s="17">
        <f>+'[1]CEDAR 032=01,80'!O33+'[1]CEDAR 032=01,80'!P33</f>
        <v>48704.7</v>
      </c>
      <c r="R33" s="17">
        <v>0</v>
      </c>
      <c r="S33" s="17">
        <v>0</v>
      </c>
      <c r="T33" s="17">
        <f>+U33/2</f>
        <v>0</v>
      </c>
      <c r="U33" s="17">
        <v>0</v>
      </c>
      <c r="V33" s="17">
        <f t="shared" si="2"/>
        <v>166987.5</v>
      </c>
      <c r="W33" s="57">
        <f t="shared" si="7"/>
        <v>0</v>
      </c>
      <c r="X33" s="78">
        <f>U33</f>
        <v>0</v>
      </c>
      <c r="Y33" s="75">
        <f t="shared" si="3"/>
        <v>-166987.5</v>
      </c>
    </row>
    <row r="34" spans="1:25" x14ac:dyDescent="0.25">
      <c r="A34" s="153">
        <v>31</v>
      </c>
      <c r="B34" s="22" t="s">
        <v>27</v>
      </c>
      <c r="C34" s="222" t="s">
        <v>747</v>
      </c>
      <c r="D34" s="7" t="s">
        <v>35</v>
      </c>
      <c r="E34" s="7">
        <v>1</v>
      </c>
      <c r="F34" s="15">
        <v>201930</v>
      </c>
      <c r="G34" s="7"/>
      <c r="H34" s="7"/>
      <c r="I34" s="7"/>
      <c r="J34" s="5"/>
      <c r="K34" s="15">
        <f t="shared" si="1"/>
        <v>201930</v>
      </c>
      <c r="L34" s="7">
        <v>12</v>
      </c>
      <c r="M34" s="5"/>
      <c r="N34" s="80">
        <v>0.19969999999999999</v>
      </c>
      <c r="O34" s="18">
        <v>0.5</v>
      </c>
      <c r="P34" s="17">
        <v>100965</v>
      </c>
      <c r="Q34" s="17">
        <f>+'[1]CEDAR 032=01,80'!O34+'[1]CEDAR 032=01,80'!P34</f>
        <v>100965</v>
      </c>
      <c r="R34" s="17">
        <v>50482.5</v>
      </c>
      <c r="S34" s="17">
        <v>40325.420999999995</v>
      </c>
      <c r="T34" s="17">
        <f t="shared" si="4"/>
        <v>3360.4517499999997</v>
      </c>
      <c r="U34" s="17">
        <f t="shared" ref="U34:U75" si="8">+F34*N34</f>
        <v>40325.420999999995</v>
      </c>
      <c r="V34" s="17">
        <f t="shared" si="2"/>
        <v>292737.92099999997</v>
      </c>
      <c r="W34" s="57">
        <f t="shared" si="7"/>
        <v>70796.657999999996</v>
      </c>
      <c r="X34" s="78">
        <f t="shared" si="5"/>
        <v>30244.065749999998</v>
      </c>
      <c r="Y34" s="75">
        <f t="shared" si="3"/>
        <v>-30244.065749999998</v>
      </c>
    </row>
    <row r="35" spans="1:25" x14ac:dyDescent="0.25">
      <c r="A35" s="153">
        <v>32</v>
      </c>
      <c r="B35" s="22" t="s">
        <v>27</v>
      </c>
      <c r="C35" s="222" t="s">
        <v>748</v>
      </c>
      <c r="D35" s="7" t="s">
        <v>35</v>
      </c>
      <c r="E35" s="7">
        <v>1</v>
      </c>
      <c r="F35" s="15">
        <v>201930</v>
      </c>
      <c r="G35" s="7"/>
      <c r="H35" s="7"/>
      <c r="I35" s="7"/>
      <c r="J35" s="5"/>
      <c r="K35" s="15">
        <f t="shared" si="1"/>
        <v>201930</v>
      </c>
      <c r="L35" s="7">
        <v>12</v>
      </c>
      <c r="M35" s="5"/>
      <c r="N35" s="80">
        <v>0.19969999999999999</v>
      </c>
      <c r="O35" s="18">
        <v>0.5</v>
      </c>
      <c r="P35" s="17">
        <v>100965</v>
      </c>
      <c r="Q35" s="17">
        <f>+'[1]CEDAR 032=01,80'!O35+'[1]CEDAR 032=01,80'!P35</f>
        <v>100965</v>
      </c>
      <c r="R35" s="17">
        <v>50482.5</v>
      </c>
      <c r="S35" s="17">
        <v>40325.420999999995</v>
      </c>
      <c r="T35" s="17">
        <f t="shared" si="4"/>
        <v>3360.4517499999997</v>
      </c>
      <c r="U35" s="17">
        <f t="shared" si="8"/>
        <v>40325.420999999995</v>
      </c>
      <c r="V35" s="17">
        <f t="shared" si="2"/>
        <v>292737.92099999997</v>
      </c>
      <c r="W35" s="57">
        <f t="shared" si="7"/>
        <v>70796.657999999996</v>
      </c>
      <c r="X35" s="78">
        <f t="shared" si="5"/>
        <v>30244.065749999998</v>
      </c>
      <c r="Y35" s="75">
        <f t="shared" si="3"/>
        <v>-30244.065749999998</v>
      </c>
    </row>
    <row r="36" spans="1:25" x14ac:dyDescent="0.25">
      <c r="A36" s="153">
        <v>33</v>
      </c>
      <c r="B36" s="22" t="s">
        <v>27</v>
      </c>
      <c r="C36" s="222" t="s">
        <v>749</v>
      </c>
      <c r="D36" s="7" t="s">
        <v>36</v>
      </c>
      <c r="E36" s="7">
        <v>1</v>
      </c>
      <c r="F36" s="15">
        <v>107080.31</v>
      </c>
      <c r="G36" s="7"/>
      <c r="H36" s="7"/>
      <c r="I36" s="7"/>
      <c r="J36" s="5"/>
      <c r="K36" s="15">
        <f t="shared" si="1"/>
        <v>107080.31</v>
      </c>
      <c r="L36" s="7">
        <v>12</v>
      </c>
      <c r="M36" s="5"/>
      <c r="N36" s="80">
        <v>0.19969999999999999</v>
      </c>
      <c r="O36" s="18">
        <v>0.25</v>
      </c>
      <c r="P36" s="17">
        <v>35693.440000000002</v>
      </c>
      <c r="Q36" s="17">
        <f>+'[1]CEDAR 032=01,80'!O36+'[1]CEDAR 032=01,80'!P36</f>
        <v>47591.25</v>
      </c>
      <c r="R36" s="17">
        <v>23795.625</v>
      </c>
      <c r="S36" s="17">
        <v>21383.937907</v>
      </c>
      <c r="T36" s="17">
        <f t="shared" si="4"/>
        <v>1781.9948255833333</v>
      </c>
      <c r="U36" s="17">
        <f t="shared" si="8"/>
        <v>21383.937907</v>
      </c>
      <c r="V36" s="17">
        <f t="shared" si="2"/>
        <v>128464.252907</v>
      </c>
      <c r="W36" s="57">
        <f t="shared" si="7"/>
        <v>40516.809185999999</v>
      </c>
      <c r="X36" s="78">
        <f t="shared" si="5"/>
        <v>16037.95343025</v>
      </c>
      <c r="Y36" s="75">
        <f t="shared" si="3"/>
        <v>7757.6665697499957</v>
      </c>
    </row>
    <row r="37" spans="1:25" x14ac:dyDescent="0.25">
      <c r="A37" s="153">
        <v>34</v>
      </c>
      <c r="B37" s="22" t="s">
        <v>27</v>
      </c>
      <c r="C37" s="222" t="s">
        <v>750</v>
      </c>
      <c r="D37" s="7" t="s">
        <v>36</v>
      </c>
      <c r="E37" s="7">
        <v>1</v>
      </c>
      <c r="F37" s="15">
        <v>107080.31</v>
      </c>
      <c r="G37" s="7"/>
      <c r="H37" s="7"/>
      <c r="I37" s="7"/>
      <c r="J37" s="5"/>
      <c r="K37" s="15">
        <f t="shared" si="1"/>
        <v>107080.31</v>
      </c>
      <c r="L37" s="7">
        <v>12</v>
      </c>
      <c r="M37" s="5"/>
      <c r="N37" s="80">
        <v>0.19969999999999999</v>
      </c>
      <c r="O37" s="18">
        <v>0.25</v>
      </c>
      <c r="P37" s="15">
        <v>35693.440000000002</v>
      </c>
      <c r="Q37" s="17">
        <f>+'[1]CEDAR 032=01,80'!O37+'[1]CEDAR 032=01,80'!P37</f>
        <v>47591.25</v>
      </c>
      <c r="R37" s="17">
        <v>23795.625</v>
      </c>
      <c r="S37" s="17">
        <v>21383.937907</v>
      </c>
      <c r="T37" s="17">
        <f t="shared" si="4"/>
        <v>1781.9948255833333</v>
      </c>
      <c r="U37" s="17">
        <f t="shared" si="8"/>
        <v>21383.937907</v>
      </c>
      <c r="V37" s="17">
        <f t="shared" si="2"/>
        <v>128464.252907</v>
      </c>
      <c r="W37" s="57">
        <f t="shared" si="7"/>
        <v>40516.809185999999</v>
      </c>
      <c r="X37" s="78">
        <f t="shared" si="5"/>
        <v>16037.95343025</v>
      </c>
      <c r="Y37" s="75">
        <f t="shared" si="3"/>
        <v>7757.6665697499957</v>
      </c>
    </row>
    <row r="38" spans="1:25" x14ac:dyDescent="0.25">
      <c r="A38" s="153">
        <v>35</v>
      </c>
      <c r="B38" s="22" t="s">
        <v>27</v>
      </c>
      <c r="C38" s="222" t="s">
        <v>751</v>
      </c>
      <c r="D38" s="7" t="s">
        <v>37</v>
      </c>
      <c r="E38" s="7">
        <v>1</v>
      </c>
      <c r="F38" s="15">
        <v>93433.5</v>
      </c>
      <c r="G38" s="7"/>
      <c r="H38" s="7"/>
      <c r="I38" s="7"/>
      <c r="J38" s="5"/>
      <c r="K38" s="15">
        <f t="shared" si="1"/>
        <v>93433.5</v>
      </c>
      <c r="L38" s="7">
        <v>12</v>
      </c>
      <c r="M38" s="5"/>
      <c r="N38" s="80">
        <v>0.19969999999999999</v>
      </c>
      <c r="O38" s="18">
        <v>0.25</v>
      </c>
      <c r="P38" s="15">
        <v>31144.5</v>
      </c>
      <c r="Q38" s="17">
        <f>+'[1]CEDAR 032=01,80'!O38+'[1]CEDAR 032=01,80'!P38</f>
        <v>41526</v>
      </c>
      <c r="R38" s="17">
        <v>20763</v>
      </c>
      <c r="S38" s="17">
        <v>18658.66995</v>
      </c>
      <c r="T38" s="17">
        <f t="shared" si="4"/>
        <v>1554.8891624999999</v>
      </c>
      <c r="U38" s="17">
        <f t="shared" si="8"/>
        <v>18658.66995</v>
      </c>
      <c r="V38" s="17">
        <f t="shared" si="2"/>
        <v>112092.16995</v>
      </c>
      <c r="W38" s="57">
        <f t="shared" si="7"/>
        <v>35353.160100000008</v>
      </c>
      <c r="X38" s="78">
        <f t="shared" si="5"/>
        <v>13994.002462499999</v>
      </c>
      <c r="Y38" s="75">
        <f t="shared" si="3"/>
        <v>6768.9975375000013</v>
      </c>
    </row>
    <row r="39" spans="1:25" x14ac:dyDescent="0.25">
      <c r="A39" s="153">
        <v>36</v>
      </c>
      <c r="B39" s="22" t="s">
        <v>27</v>
      </c>
      <c r="C39" s="222" t="s">
        <v>752</v>
      </c>
      <c r="D39" s="7" t="s">
        <v>37</v>
      </c>
      <c r="E39" s="7">
        <v>1</v>
      </c>
      <c r="F39" s="15">
        <v>93433.5</v>
      </c>
      <c r="G39" s="7"/>
      <c r="H39" s="7"/>
      <c r="I39" s="7"/>
      <c r="J39" s="5"/>
      <c r="K39" s="15">
        <f t="shared" si="1"/>
        <v>93433.5</v>
      </c>
      <c r="L39" s="7">
        <v>12</v>
      </c>
      <c r="M39" s="5"/>
      <c r="N39" s="80">
        <v>0.19969999999999999</v>
      </c>
      <c r="O39" s="18">
        <v>0.25</v>
      </c>
      <c r="P39" s="15">
        <v>31144.5</v>
      </c>
      <c r="Q39" s="17">
        <f>+'[1]CEDAR 032=01,80'!O39+'[1]CEDAR 032=01,80'!P39</f>
        <v>41526</v>
      </c>
      <c r="R39" s="17">
        <v>20763</v>
      </c>
      <c r="S39" s="17">
        <v>18658.66995</v>
      </c>
      <c r="T39" s="17">
        <f t="shared" si="4"/>
        <v>1554.8891624999999</v>
      </c>
      <c r="U39" s="17">
        <f t="shared" si="8"/>
        <v>18658.66995</v>
      </c>
      <c r="V39" s="17">
        <f t="shared" si="2"/>
        <v>112092.16995</v>
      </c>
      <c r="W39" s="57">
        <f t="shared" si="7"/>
        <v>35353.160100000008</v>
      </c>
      <c r="X39" s="78">
        <f t="shared" si="5"/>
        <v>13994.002462499999</v>
      </c>
      <c r="Y39" s="75">
        <f t="shared" si="3"/>
        <v>6768.9975375000013</v>
      </c>
    </row>
    <row r="40" spans="1:25" x14ac:dyDescent="0.25">
      <c r="A40" s="153">
        <v>37</v>
      </c>
      <c r="B40" s="22" t="s">
        <v>27</v>
      </c>
      <c r="C40" s="222" t="s">
        <v>753</v>
      </c>
      <c r="D40" s="7" t="s">
        <v>36</v>
      </c>
      <c r="E40" s="7">
        <v>1</v>
      </c>
      <c r="F40" s="15">
        <v>229317.75</v>
      </c>
      <c r="G40" s="7"/>
      <c r="H40" s="7"/>
      <c r="I40" s="7"/>
      <c r="J40" s="5"/>
      <c r="K40" s="15">
        <f t="shared" si="1"/>
        <v>229317.75</v>
      </c>
      <c r="L40" s="7">
        <v>12</v>
      </c>
      <c r="M40" s="5"/>
      <c r="N40" s="80">
        <v>0.19969999999999999</v>
      </c>
      <c r="O40" s="18">
        <v>0.25</v>
      </c>
      <c r="P40" s="15">
        <v>76439.25</v>
      </c>
      <c r="Q40" s="17">
        <f>+'[1]CEDAR 032=01,80'!O40+'[1]CEDAR 032=01,80'!P40</f>
        <v>101919</v>
      </c>
      <c r="R40" s="17">
        <v>50959.5</v>
      </c>
      <c r="S40" s="17">
        <v>45794.754674999996</v>
      </c>
      <c r="T40" s="17">
        <f t="shared" si="4"/>
        <v>3816.2295562499999</v>
      </c>
      <c r="U40" s="17">
        <f t="shared" si="8"/>
        <v>45794.754674999996</v>
      </c>
      <c r="V40" s="17">
        <f t="shared" si="2"/>
        <v>275112.50467499997</v>
      </c>
      <c r="W40" s="57">
        <f t="shared" si="7"/>
        <v>86768.740649999992</v>
      </c>
      <c r="X40" s="78">
        <f t="shared" si="5"/>
        <v>34346.066006249996</v>
      </c>
      <c r="Y40" s="75">
        <f t="shared" si="3"/>
        <v>16613.433993750004</v>
      </c>
    </row>
    <row r="41" spans="1:25" x14ac:dyDescent="0.25">
      <c r="A41" s="153">
        <v>38</v>
      </c>
      <c r="B41" s="22" t="s">
        <v>27</v>
      </c>
      <c r="C41" s="222" t="s">
        <v>754</v>
      </c>
      <c r="D41" s="7" t="s">
        <v>28</v>
      </c>
      <c r="E41" s="7">
        <v>1</v>
      </c>
      <c r="F41" s="15">
        <v>664046.23</v>
      </c>
      <c r="G41" s="7"/>
      <c r="H41" s="7"/>
      <c r="I41" s="7"/>
      <c r="J41" s="5"/>
      <c r="K41" s="15">
        <f t="shared" si="1"/>
        <v>664046.23</v>
      </c>
      <c r="L41" s="7">
        <v>12</v>
      </c>
      <c r="M41" s="5"/>
      <c r="N41" s="80">
        <v>0.19969999999999999</v>
      </c>
      <c r="O41" s="18">
        <v>0.25</v>
      </c>
      <c r="P41" s="15">
        <v>160287.01999999999</v>
      </c>
      <c r="Q41" s="17">
        <f>+'[1]CEDAR 032=01,80'!O41+'[1]CEDAR 032=01,80'!P41</f>
        <v>274777.75</v>
      </c>
      <c r="R41" s="17">
        <v>137388.875</v>
      </c>
      <c r="S41" s="17">
        <v>132610.03213099999</v>
      </c>
      <c r="T41" s="17">
        <f t="shared" si="4"/>
        <v>11050.836010916666</v>
      </c>
      <c r="U41" s="17">
        <f t="shared" si="8"/>
        <v>132610.03213099999</v>
      </c>
      <c r="V41" s="17">
        <f t="shared" si="2"/>
        <v>705063.67713099997</v>
      </c>
      <c r="W41" s="57">
        <f t="shared" si="7"/>
        <v>261437.29073800004</v>
      </c>
      <c r="X41" s="78">
        <f t="shared" si="5"/>
        <v>99457.524098249996</v>
      </c>
      <c r="Y41" s="75">
        <f t="shared" si="3"/>
        <v>129523.93590174997</v>
      </c>
    </row>
    <row r="42" spans="1:25" x14ac:dyDescent="0.25">
      <c r="A42" s="153">
        <v>39</v>
      </c>
      <c r="B42" s="22" t="s">
        <v>27</v>
      </c>
      <c r="C42" s="222" t="s">
        <v>755</v>
      </c>
      <c r="D42" s="7" t="s">
        <v>28</v>
      </c>
      <c r="E42" s="7">
        <v>1</v>
      </c>
      <c r="F42" s="15">
        <v>664046.23</v>
      </c>
      <c r="G42" s="7"/>
      <c r="H42" s="7"/>
      <c r="I42" s="7"/>
      <c r="J42" s="5"/>
      <c r="K42" s="15">
        <f t="shared" si="1"/>
        <v>664046.23</v>
      </c>
      <c r="L42" s="7">
        <v>12</v>
      </c>
      <c r="M42" s="5"/>
      <c r="N42" s="80">
        <v>0.19969999999999999</v>
      </c>
      <c r="O42" s="18">
        <v>0.25</v>
      </c>
      <c r="P42" s="15">
        <v>160287.01999999999</v>
      </c>
      <c r="Q42" s="17">
        <f>+'[1]CEDAR 032=01,80'!O42+'[1]CEDAR 032=01,80'!P42</f>
        <v>274777.75</v>
      </c>
      <c r="R42" s="17">
        <v>137388.875</v>
      </c>
      <c r="S42" s="17">
        <v>132610.03213099999</v>
      </c>
      <c r="T42" s="17">
        <f t="shared" si="4"/>
        <v>11050.836010916666</v>
      </c>
      <c r="U42" s="17">
        <f t="shared" si="8"/>
        <v>132610.03213099999</v>
      </c>
      <c r="V42" s="17">
        <f t="shared" si="2"/>
        <v>705063.67713099997</v>
      </c>
      <c r="W42" s="57">
        <f t="shared" si="7"/>
        <v>261437.29073800004</v>
      </c>
      <c r="X42" s="78">
        <f t="shared" si="5"/>
        <v>99457.524098249996</v>
      </c>
      <c r="Y42" s="75">
        <f t="shared" si="3"/>
        <v>129523.93590174997</v>
      </c>
    </row>
    <row r="43" spans="1:25" x14ac:dyDescent="0.25">
      <c r="A43" s="153">
        <v>40</v>
      </c>
      <c r="B43" s="22" t="s">
        <v>27</v>
      </c>
      <c r="C43" s="222" t="s">
        <v>756</v>
      </c>
      <c r="D43" s="7" t="s">
        <v>28</v>
      </c>
      <c r="E43" s="7">
        <v>1</v>
      </c>
      <c r="F43" s="15">
        <v>650607.75</v>
      </c>
      <c r="G43" s="7"/>
      <c r="H43" s="7"/>
      <c r="I43" s="7"/>
      <c r="J43" s="5"/>
      <c r="K43" s="15">
        <f t="shared" si="1"/>
        <v>650607.75</v>
      </c>
      <c r="L43" s="7">
        <v>12</v>
      </c>
      <c r="M43" s="5"/>
      <c r="N43" s="80">
        <v>0.19969999999999999</v>
      </c>
      <c r="O43" s="18">
        <v>0.25</v>
      </c>
      <c r="P43" s="15">
        <v>157043.25</v>
      </c>
      <c r="Q43" s="17">
        <f>+'[1]CEDAR 032=01,80'!O43+'[1]CEDAR 032=01,80'!P43</f>
        <v>269217</v>
      </c>
      <c r="R43" s="17">
        <v>134608.5</v>
      </c>
      <c r="S43" s="17">
        <v>129926.36767499999</v>
      </c>
      <c r="T43" s="17">
        <f t="shared" si="4"/>
        <v>10827.197306249998</v>
      </c>
      <c r="U43" s="17">
        <f t="shared" si="8"/>
        <v>129926.36767499999</v>
      </c>
      <c r="V43" s="17">
        <f t="shared" si="2"/>
        <v>690795.11767499999</v>
      </c>
      <c r="W43" s="57">
        <f t="shared" si="7"/>
        <v>256146.51465000003</v>
      </c>
      <c r="X43" s="78">
        <f t="shared" si="5"/>
        <v>97444.77575624999</v>
      </c>
      <c r="Y43" s="75">
        <f t="shared" si="3"/>
        <v>126902.72424375001</v>
      </c>
    </row>
    <row r="44" spans="1:25" x14ac:dyDescent="0.25">
      <c r="A44" s="153">
        <v>41</v>
      </c>
      <c r="B44" s="22" t="s">
        <v>27</v>
      </c>
      <c r="C44" s="222" t="s">
        <v>757</v>
      </c>
      <c r="D44" s="7" t="s">
        <v>32</v>
      </c>
      <c r="E44" s="7">
        <v>1</v>
      </c>
      <c r="F44" s="15">
        <v>112836.89000000001</v>
      </c>
      <c r="G44" s="7"/>
      <c r="H44" s="7"/>
      <c r="I44" s="7"/>
      <c r="J44" s="5"/>
      <c r="K44" s="15">
        <f t="shared" si="1"/>
        <v>112836.89000000001</v>
      </c>
      <c r="L44" s="7">
        <v>12</v>
      </c>
      <c r="M44" s="5"/>
      <c r="N44" s="80">
        <v>0.19969999999999999</v>
      </c>
      <c r="O44" s="18">
        <v>0.25</v>
      </c>
      <c r="P44" s="15">
        <v>27236.49</v>
      </c>
      <c r="Q44" s="17">
        <f>+'[1]CEDAR 032=01,80'!O44+'[1]CEDAR 032=01,80'!P44</f>
        <v>46691.12</v>
      </c>
      <c r="R44" s="17">
        <v>23345.5625</v>
      </c>
      <c r="S44" s="17">
        <v>22533.526933000001</v>
      </c>
      <c r="T44" s="17">
        <f t="shared" si="4"/>
        <v>1877.7939110833333</v>
      </c>
      <c r="U44" s="17">
        <f t="shared" si="8"/>
        <v>22533.526933000001</v>
      </c>
      <c r="V44" s="17">
        <f t="shared" si="2"/>
        <v>119806.699433</v>
      </c>
      <c r="W44" s="57">
        <f t="shared" si="7"/>
        <v>44424.273634000012</v>
      </c>
      <c r="X44" s="78">
        <f t="shared" si="5"/>
        <v>16900.145199750001</v>
      </c>
      <c r="Y44" s="75">
        <f t="shared" si="3"/>
        <v>22009.134800250005</v>
      </c>
    </row>
    <row r="45" spans="1:25" x14ac:dyDescent="0.25">
      <c r="A45" s="153">
        <v>42</v>
      </c>
      <c r="B45" s="22" t="s">
        <v>27</v>
      </c>
      <c r="C45" s="222" t="s">
        <v>758</v>
      </c>
      <c r="D45" s="7" t="s">
        <v>32</v>
      </c>
      <c r="E45" s="7">
        <v>1</v>
      </c>
      <c r="F45" s="15">
        <v>112836.89000000001</v>
      </c>
      <c r="G45" s="7"/>
      <c r="H45" s="7"/>
      <c r="I45" s="7"/>
      <c r="J45" s="5"/>
      <c r="K45" s="15">
        <f t="shared" si="1"/>
        <v>112836.89000000001</v>
      </c>
      <c r="L45" s="7">
        <v>12</v>
      </c>
      <c r="M45" s="5"/>
      <c r="N45" s="80">
        <v>0.19969999999999999</v>
      </c>
      <c r="O45" s="18">
        <v>0.25</v>
      </c>
      <c r="P45" s="15">
        <v>27236.49</v>
      </c>
      <c r="Q45" s="17">
        <f>+'[1]CEDAR 032=01,80'!O45+'[1]CEDAR 032=01,80'!P45</f>
        <v>46691.12</v>
      </c>
      <c r="R45" s="17">
        <v>23345.5625</v>
      </c>
      <c r="S45" s="17">
        <v>22533.526933000001</v>
      </c>
      <c r="T45" s="17">
        <f t="shared" si="4"/>
        <v>1877.7939110833333</v>
      </c>
      <c r="U45" s="17">
        <f t="shared" si="8"/>
        <v>22533.526933000001</v>
      </c>
      <c r="V45" s="17">
        <f t="shared" si="2"/>
        <v>119806.699433</v>
      </c>
      <c r="W45" s="57">
        <f t="shared" si="7"/>
        <v>44424.273634000012</v>
      </c>
      <c r="X45" s="78">
        <f t="shared" si="5"/>
        <v>16900.145199750001</v>
      </c>
      <c r="Y45" s="75">
        <f t="shared" si="3"/>
        <v>22009.134800250005</v>
      </c>
    </row>
    <row r="46" spans="1:25" x14ac:dyDescent="0.25">
      <c r="A46" s="153">
        <v>43</v>
      </c>
      <c r="B46" s="22" t="s">
        <v>27</v>
      </c>
      <c r="C46" s="222" t="s">
        <v>759</v>
      </c>
      <c r="D46" s="7" t="s">
        <v>32</v>
      </c>
      <c r="E46" s="7">
        <v>1</v>
      </c>
      <c r="F46" s="15">
        <v>112836.89000000001</v>
      </c>
      <c r="G46" s="7"/>
      <c r="H46" s="7"/>
      <c r="I46" s="7"/>
      <c r="J46" s="5"/>
      <c r="K46" s="15">
        <f t="shared" si="1"/>
        <v>112836.89000000001</v>
      </c>
      <c r="L46" s="7">
        <v>12</v>
      </c>
      <c r="M46" s="5"/>
      <c r="N46" s="80">
        <v>0.19969999999999999</v>
      </c>
      <c r="O46" s="18">
        <v>0.25</v>
      </c>
      <c r="P46" s="15">
        <v>27236.49</v>
      </c>
      <c r="Q46" s="17">
        <f>+'[1]CEDAR 032=01,80'!O46+'[1]CEDAR 032=01,80'!P46</f>
        <v>46691.12</v>
      </c>
      <c r="R46" s="17">
        <v>23345.5625</v>
      </c>
      <c r="S46" s="17">
        <v>22533.526933000001</v>
      </c>
      <c r="T46" s="17">
        <f t="shared" si="4"/>
        <v>1877.7939110833333</v>
      </c>
      <c r="U46" s="17">
        <f t="shared" si="8"/>
        <v>22533.526933000001</v>
      </c>
      <c r="V46" s="17">
        <f t="shared" si="2"/>
        <v>119806.699433</v>
      </c>
      <c r="W46" s="57">
        <f t="shared" si="7"/>
        <v>44424.273634000012</v>
      </c>
      <c r="X46" s="78">
        <f t="shared" si="5"/>
        <v>16900.145199750001</v>
      </c>
      <c r="Y46" s="75">
        <f t="shared" si="3"/>
        <v>22009.134800250005</v>
      </c>
    </row>
    <row r="47" spans="1:25" x14ac:dyDescent="0.25">
      <c r="A47" s="153">
        <v>44</v>
      </c>
      <c r="B47" s="22" t="s">
        <v>27</v>
      </c>
      <c r="C47" s="222" t="s">
        <v>760</v>
      </c>
      <c r="D47" s="7" t="s">
        <v>38</v>
      </c>
      <c r="E47" s="7">
        <v>1</v>
      </c>
      <c r="F47" s="15">
        <v>263290.75</v>
      </c>
      <c r="G47" s="7"/>
      <c r="H47" s="7"/>
      <c r="I47" s="7"/>
      <c r="J47" s="5"/>
      <c r="K47" s="15">
        <f t="shared" si="1"/>
        <v>263290.75</v>
      </c>
      <c r="L47" s="7">
        <v>12</v>
      </c>
      <c r="M47" s="5"/>
      <c r="N47" s="80">
        <v>0.19969999999999999</v>
      </c>
      <c r="O47" s="18">
        <v>0.25</v>
      </c>
      <c r="P47" s="15">
        <v>42466.25</v>
      </c>
      <c r="Q47" s="17">
        <f>+'[1]CEDAR 032=01,80'!O47+'[1]CEDAR 032=01,80'!P47</f>
        <v>101919</v>
      </c>
      <c r="R47" s="17">
        <v>50959.5</v>
      </c>
      <c r="S47" s="17">
        <v>52579.162774999997</v>
      </c>
      <c r="T47" s="17">
        <f t="shared" si="4"/>
        <v>4381.5968979166664</v>
      </c>
      <c r="U47" s="17">
        <f t="shared" si="8"/>
        <v>52579.162774999997</v>
      </c>
      <c r="V47" s="17">
        <f t="shared" si="2"/>
        <v>247923.912775</v>
      </c>
      <c r="W47" s="57">
        <f t="shared" si="7"/>
        <v>107172.92444999999</v>
      </c>
      <c r="X47" s="78">
        <f t="shared" si="5"/>
        <v>39434.372081249996</v>
      </c>
      <c r="Y47" s="75">
        <f t="shared" si="3"/>
        <v>79471.127918750004</v>
      </c>
    </row>
    <row r="48" spans="1:25" x14ac:dyDescent="0.25">
      <c r="A48" s="153">
        <v>45</v>
      </c>
      <c r="B48" s="22" t="s">
        <v>27</v>
      </c>
      <c r="C48" s="222" t="s">
        <v>761</v>
      </c>
      <c r="D48" s="7" t="s">
        <v>39</v>
      </c>
      <c r="E48" s="7">
        <v>1</v>
      </c>
      <c r="F48" s="15">
        <v>389108.12</v>
      </c>
      <c r="G48" s="7"/>
      <c r="H48" s="7"/>
      <c r="I48" s="7"/>
      <c r="J48" s="5"/>
      <c r="K48" s="15">
        <f t="shared" si="1"/>
        <v>389108.12</v>
      </c>
      <c r="L48" s="7">
        <v>12</v>
      </c>
      <c r="M48" s="5"/>
      <c r="N48" s="80">
        <v>0.19969999999999999</v>
      </c>
      <c r="O48" s="18">
        <v>0.25</v>
      </c>
      <c r="P48" s="15">
        <v>62759.38</v>
      </c>
      <c r="Q48" s="17">
        <f>+'[1]CEDAR 032=01,80'!O48+'[1]CEDAR 032=01,80'!P48</f>
        <v>150622.5</v>
      </c>
      <c r="R48" s="17">
        <v>75311.25</v>
      </c>
      <c r="S48" s="17">
        <v>77704.89156399999</v>
      </c>
      <c r="T48" s="17">
        <f t="shared" si="4"/>
        <v>6475.4076303333322</v>
      </c>
      <c r="U48" s="17">
        <f t="shared" si="8"/>
        <v>77704.89156399999</v>
      </c>
      <c r="V48" s="17">
        <f t="shared" si="2"/>
        <v>366398.021564</v>
      </c>
      <c r="W48" s="57">
        <f t="shared" si="7"/>
        <v>158387.08687200001</v>
      </c>
      <c r="X48" s="78">
        <f t="shared" si="5"/>
        <v>58278.668672999993</v>
      </c>
      <c r="Y48" s="75">
        <f t="shared" ref="Y48:Y75" si="9">+K48-P48-Q48-X48</f>
        <v>117447.571327</v>
      </c>
    </row>
    <row r="49" spans="1:25" x14ac:dyDescent="0.25">
      <c r="A49" s="153">
        <v>46</v>
      </c>
      <c r="B49" s="22" t="s">
        <v>27</v>
      </c>
      <c r="C49" s="222" t="s">
        <v>762</v>
      </c>
      <c r="D49" s="7" t="s">
        <v>39</v>
      </c>
      <c r="E49" s="7">
        <v>1</v>
      </c>
      <c r="F49" s="15">
        <v>389108.12</v>
      </c>
      <c r="G49" s="7"/>
      <c r="H49" s="7"/>
      <c r="I49" s="7"/>
      <c r="J49" s="5"/>
      <c r="K49" s="15">
        <f t="shared" si="1"/>
        <v>389108.12</v>
      </c>
      <c r="L49" s="7">
        <v>12</v>
      </c>
      <c r="M49" s="5"/>
      <c r="N49" s="80">
        <v>0.19969999999999999</v>
      </c>
      <c r="O49" s="18">
        <v>0.25</v>
      </c>
      <c r="P49" s="15">
        <v>62759.38</v>
      </c>
      <c r="Q49" s="17">
        <f>+'[1]CEDAR 032=01,80'!O49+'[1]CEDAR 032=01,80'!P49</f>
        <v>150622.5</v>
      </c>
      <c r="R49" s="17">
        <v>75311.25</v>
      </c>
      <c r="S49" s="17">
        <v>77704.89156399999</v>
      </c>
      <c r="T49" s="17">
        <f t="shared" si="4"/>
        <v>6475.4076303333322</v>
      </c>
      <c r="U49" s="17">
        <f t="shared" si="8"/>
        <v>77704.89156399999</v>
      </c>
      <c r="V49" s="17">
        <f t="shared" si="2"/>
        <v>366398.021564</v>
      </c>
      <c r="W49" s="57">
        <f t="shared" si="7"/>
        <v>158387.08687200001</v>
      </c>
      <c r="X49" s="78">
        <f t="shared" si="5"/>
        <v>58278.668672999993</v>
      </c>
      <c r="Y49" s="75">
        <f t="shared" si="9"/>
        <v>117447.571327</v>
      </c>
    </row>
    <row r="50" spans="1:25" x14ac:dyDescent="0.25">
      <c r="A50" s="153">
        <v>47</v>
      </c>
      <c r="B50" s="22" t="s">
        <v>27</v>
      </c>
      <c r="C50" s="222" t="s">
        <v>763</v>
      </c>
      <c r="D50" s="7" t="s">
        <v>39</v>
      </c>
      <c r="E50" s="7">
        <v>1</v>
      </c>
      <c r="F50" s="15">
        <v>389108.12</v>
      </c>
      <c r="G50" s="7"/>
      <c r="H50" s="7"/>
      <c r="I50" s="7"/>
      <c r="J50" s="5"/>
      <c r="K50" s="15">
        <f t="shared" si="1"/>
        <v>389108.12</v>
      </c>
      <c r="L50" s="7">
        <v>12</v>
      </c>
      <c r="M50" s="5"/>
      <c r="N50" s="80">
        <v>0.19969999999999999</v>
      </c>
      <c r="O50" s="18">
        <v>0.25</v>
      </c>
      <c r="P50" s="15">
        <v>62759.38</v>
      </c>
      <c r="Q50" s="17">
        <f>+'[1]CEDAR 032=01,80'!O50+'[1]CEDAR 032=01,80'!P50</f>
        <v>150622.5</v>
      </c>
      <c r="R50" s="17">
        <v>75311.25</v>
      </c>
      <c r="S50" s="17">
        <v>77704.89156399999</v>
      </c>
      <c r="T50" s="17">
        <f t="shared" si="4"/>
        <v>6475.4076303333322</v>
      </c>
      <c r="U50" s="17">
        <f t="shared" si="8"/>
        <v>77704.89156399999</v>
      </c>
      <c r="V50" s="17">
        <f t="shared" si="2"/>
        <v>366398.021564</v>
      </c>
      <c r="W50" s="57">
        <f t="shared" si="7"/>
        <v>158387.08687200001</v>
      </c>
      <c r="X50" s="78">
        <f t="shared" si="5"/>
        <v>58278.668672999993</v>
      </c>
      <c r="Y50" s="75">
        <f t="shared" si="9"/>
        <v>117447.571327</v>
      </c>
    </row>
    <row r="51" spans="1:25" x14ac:dyDescent="0.25">
      <c r="A51" s="153">
        <v>48</v>
      </c>
      <c r="B51" s="22" t="s">
        <v>27</v>
      </c>
      <c r="C51" s="222" t="s">
        <v>764</v>
      </c>
      <c r="D51" s="7" t="s">
        <v>39</v>
      </c>
      <c r="E51" s="7">
        <v>1</v>
      </c>
      <c r="F51" s="15">
        <v>389108.12</v>
      </c>
      <c r="G51" s="7"/>
      <c r="H51" s="7"/>
      <c r="I51" s="7"/>
      <c r="J51" s="5"/>
      <c r="K51" s="15">
        <f t="shared" si="1"/>
        <v>389108.12</v>
      </c>
      <c r="L51" s="7">
        <v>12</v>
      </c>
      <c r="M51" s="5"/>
      <c r="N51" s="80">
        <v>0.19969999999999999</v>
      </c>
      <c r="O51" s="18">
        <v>0.25</v>
      </c>
      <c r="P51" s="15">
        <v>62759.38</v>
      </c>
      <c r="Q51" s="17">
        <f>+'[1]CEDAR 032=01,80'!O51+'[1]CEDAR 032=01,80'!P51</f>
        <v>150622.5</v>
      </c>
      <c r="R51" s="17">
        <v>75311.25</v>
      </c>
      <c r="S51" s="17">
        <v>77704.89156399999</v>
      </c>
      <c r="T51" s="17">
        <f t="shared" si="4"/>
        <v>6475.4076303333322</v>
      </c>
      <c r="U51" s="17">
        <f t="shared" si="8"/>
        <v>77704.89156399999</v>
      </c>
      <c r="V51" s="17">
        <f t="shared" si="2"/>
        <v>366398.021564</v>
      </c>
      <c r="W51" s="57">
        <f t="shared" si="7"/>
        <v>158387.08687200001</v>
      </c>
      <c r="X51" s="78">
        <f t="shared" si="5"/>
        <v>58278.668672999993</v>
      </c>
      <c r="Y51" s="75">
        <f t="shared" si="9"/>
        <v>117447.571327</v>
      </c>
    </row>
    <row r="52" spans="1:25" x14ac:dyDescent="0.25">
      <c r="A52" s="153">
        <v>49</v>
      </c>
      <c r="B52" s="22" t="s">
        <v>27</v>
      </c>
      <c r="C52" s="222" t="s">
        <v>765</v>
      </c>
      <c r="D52" s="7" t="s">
        <v>28</v>
      </c>
      <c r="E52" s="7">
        <v>1</v>
      </c>
      <c r="F52" s="15">
        <v>728316.87</v>
      </c>
      <c r="G52" s="7"/>
      <c r="H52" s="7"/>
      <c r="I52" s="7"/>
      <c r="J52" s="5"/>
      <c r="K52" s="15">
        <f t="shared" si="1"/>
        <v>728316.87</v>
      </c>
      <c r="L52" s="7">
        <v>12</v>
      </c>
      <c r="M52" s="5"/>
      <c r="N52" s="80">
        <v>0.19969999999999999</v>
      </c>
      <c r="O52" s="18">
        <v>0.25</v>
      </c>
      <c r="P52" s="15">
        <v>66210.63</v>
      </c>
      <c r="Q52" s="17">
        <f>+'[1]CEDAR 032=01,80'!O52+'[1]CEDAR 032=01,80'!P52</f>
        <v>264842.5</v>
      </c>
      <c r="R52" s="17">
        <v>132421.25</v>
      </c>
      <c r="S52" s="17">
        <v>145444.87893899999</v>
      </c>
      <c r="T52" s="17">
        <f t="shared" si="4"/>
        <v>12120.406578249998</v>
      </c>
      <c r="U52" s="17">
        <f t="shared" si="8"/>
        <v>145444.87893899999</v>
      </c>
      <c r="V52" s="17">
        <f t="shared" si="2"/>
        <v>608919.25893899996</v>
      </c>
      <c r="W52" s="57">
        <f t="shared" si="7"/>
        <v>305005.86212200008</v>
      </c>
      <c r="X52" s="78">
        <f t="shared" si="5"/>
        <v>109083.65920424998</v>
      </c>
      <c r="Y52" s="75">
        <f t="shared" si="9"/>
        <v>288180.08079575002</v>
      </c>
    </row>
    <row r="53" spans="1:25" x14ac:dyDescent="0.25">
      <c r="A53" s="153">
        <v>50</v>
      </c>
      <c r="B53" s="22" t="s">
        <v>27</v>
      </c>
      <c r="C53" s="222" t="s">
        <v>766</v>
      </c>
      <c r="D53" s="7" t="s">
        <v>28</v>
      </c>
      <c r="E53" s="7">
        <v>1</v>
      </c>
      <c r="F53" s="15">
        <v>728316.87</v>
      </c>
      <c r="G53" s="7"/>
      <c r="H53" s="7"/>
      <c r="I53" s="7"/>
      <c r="J53" s="5"/>
      <c r="K53" s="15">
        <f t="shared" si="1"/>
        <v>728316.87</v>
      </c>
      <c r="L53" s="7">
        <v>12</v>
      </c>
      <c r="M53" s="5"/>
      <c r="N53" s="80">
        <v>0.19969999999999999</v>
      </c>
      <c r="O53" s="18">
        <v>0.25</v>
      </c>
      <c r="P53" s="15">
        <v>66210.63</v>
      </c>
      <c r="Q53" s="17">
        <f>+'[1]CEDAR 032=01,80'!O53+'[1]CEDAR 032=01,80'!P53</f>
        <v>264842.5</v>
      </c>
      <c r="R53" s="17">
        <v>132421.25</v>
      </c>
      <c r="S53" s="17">
        <v>145444.87893899999</v>
      </c>
      <c r="T53" s="17">
        <f t="shared" si="4"/>
        <v>12120.406578249998</v>
      </c>
      <c r="U53" s="17">
        <f t="shared" si="8"/>
        <v>145444.87893899999</v>
      </c>
      <c r="V53" s="17">
        <f t="shared" si="2"/>
        <v>608919.25893899996</v>
      </c>
      <c r="W53" s="57">
        <f t="shared" si="7"/>
        <v>305005.86212200008</v>
      </c>
      <c r="X53" s="78">
        <f t="shared" si="5"/>
        <v>109083.65920424998</v>
      </c>
      <c r="Y53" s="75">
        <f t="shared" si="9"/>
        <v>288180.08079575002</v>
      </c>
    </row>
    <row r="54" spans="1:25" x14ac:dyDescent="0.25">
      <c r="A54" s="153">
        <v>51</v>
      </c>
      <c r="B54" s="22" t="s">
        <v>27</v>
      </c>
      <c r="C54" s="222" t="s">
        <v>767</v>
      </c>
      <c r="D54" s="7" t="s">
        <v>28</v>
      </c>
      <c r="E54" s="7">
        <v>1</v>
      </c>
      <c r="F54" s="15">
        <v>728316.87</v>
      </c>
      <c r="G54" s="7"/>
      <c r="H54" s="7"/>
      <c r="I54" s="7"/>
      <c r="J54" s="5"/>
      <c r="K54" s="15">
        <f t="shared" si="1"/>
        <v>728316.87</v>
      </c>
      <c r="L54" s="7">
        <v>12</v>
      </c>
      <c r="M54" s="5"/>
      <c r="N54" s="80">
        <v>0.19969999999999999</v>
      </c>
      <c r="O54" s="18">
        <v>0.25</v>
      </c>
      <c r="P54" s="15">
        <v>66210.63</v>
      </c>
      <c r="Q54" s="17">
        <f>+'[1]CEDAR 032=01,80'!O54+'[1]CEDAR 032=01,80'!P54</f>
        <v>264842.5</v>
      </c>
      <c r="R54" s="17">
        <v>132421.25</v>
      </c>
      <c r="S54" s="17">
        <v>145444.87893899999</v>
      </c>
      <c r="T54" s="17">
        <f t="shared" si="4"/>
        <v>12120.406578249998</v>
      </c>
      <c r="U54" s="17">
        <f t="shared" si="8"/>
        <v>145444.87893899999</v>
      </c>
      <c r="V54" s="17">
        <f t="shared" si="2"/>
        <v>608919.25893899996</v>
      </c>
      <c r="W54" s="57">
        <f t="shared" si="7"/>
        <v>305005.86212200008</v>
      </c>
      <c r="X54" s="78">
        <f t="shared" si="5"/>
        <v>109083.65920424998</v>
      </c>
      <c r="Y54" s="75">
        <f t="shared" si="9"/>
        <v>288180.08079575002</v>
      </c>
    </row>
    <row r="55" spans="1:25" x14ac:dyDescent="0.25">
      <c r="A55" s="153">
        <v>52</v>
      </c>
      <c r="B55" s="22" t="s">
        <v>27</v>
      </c>
      <c r="C55" s="222" t="s">
        <v>768</v>
      </c>
      <c r="D55" s="7" t="s">
        <v>28</v>
      </c>
      <c r="E55" s="7">
        <v>1</v>
      </c>
      <c r="F55" s="15">
        <v>712506.44</v>
      </c>
      <c r="G55" s="7"/>
      <c r="H55" s="7"/>
      <c r="I55" s="7"/>
      <c r="J55" s="5"/>
      <c r="K55" s="15">
        <f t="shared" si="1"/>
        <v>712506.44</v>
      </c>
      <c r="L55" s="7">
        <v>12</v>
      </c>
      <c r="M55" s="5"/>
      <c r="N55" s="80">
        <v>0.19969999999999999</v>
      </c>
      <c r="O55" s="18">
        <v>0.25</v>
      </c>
      <c r="P55" s="15">
        <v>64773.31</v>
      </c>
      <c r="Q55" s="17">
        <f>+'[1]CEDAR 032=01,80'!O55+'[1]CEDAR 032=01,80'!P55</f>
        <v>259093.25</v>
      </c>
      <c r="R55" s="17">
        <v>129546.625</v>
      </c>
      <c r="S55" s="17">
        <v>142287.53606799999</v>
      </c>
      <c r="T55" s="17">
        <f t="shared" si="4"/>
        <v>11857.294672333332</v>
      </c>
      <c r="U55" s="17">
        <f t="shared" si="8"/>
        <v>142287.53606799999</v>
      </c>
      <c r="V55" s="17">
        <f t="shared" si="2"/>
        <v>595700.72106799996</v>
      </c>
      <c r="W55" s="57">
        <f t="shared" si="7"/>
        <v>298384.74286399991</v>
      </c>
      <c r="X55" s="78">
        <f t="shared" si="5"/>
        <v>106715.65205099998</v>
      </c>
      <c r="Y55" s="75">
        <f t="shared" si="9"/>
        <v>281924.22794899991</v>
      </c>
    </row>
    <row r="56" spans="1:25" x14ac:dyDescent="0.25">
      <c r="A56" s="153">
        <v>53</v>
      </c>
      <c r="B56" s="22" t="s">
        <v>27</v>
      </c>
      <c r="C56" s="222" t="s">
        <v>769</v>
      </c>
      <c r="D56" s="7" t="s">
        <v>28</v>
      </c>
      <c r="E56" s="7">
        <v>1</v>
      </c>
      <c r="F56" s="15">
        <v>712506.44</v>
      </c>
      <c r="G56" s="7"/>
      <c r="H56" s="7"/>
      <c r="I56" s="7"/>
      <c r="J56" s="5"/>
      <c r="K56" s="15">
        <f t="shared" si="1"/>
        <v>712506.44</v>
      </c>
      <c r="L56" s="7">
        <v>12</v>
      </c>
      <c r="M56" s="5"/>
      <c r="N56" s="80">
        <v>0.19969999999999999</v>
      </c>
      <c r="O56" s="18">
        <v>0.25</v>
      </c>
      <c r="P56" s="15">
        <v>64773.31</v>
      </c>
      <c r="Q56" s="17">
        <f>+'[1]CEDAR 032=01,80'!O56+'[1]CEDAR 032=01,80'!P56</f>
        <v>259093.25</v>
      </c>
      <c r="R56" s="17">
        <v>129546.625</v>
      </c>
      <c r="S56" s="17">
        <v>142287.53606799999</v>
      </c>
      <c r="T56" s="17">
        <f t="shared" si="4"/>
        <v>11857.294672333332</v>
      </c>
      <c r="U56" s="17">
        <f t="shared" si="8"/>
        <v>142287.53606799999</v>
      </c>
      <c r="V56" s="17">
        <f t="shared" si="2"/>
        <v>595700.72106799996</v>
      </c>
      <c r="W56" s="57">
        <f t="shared" si="7"/>
        <v>298384.74286399991</v>
      </c>
      <c r="X56" s="78">
        <f t="shared" si="5"/>
        <v>106715.65205099998</v>
      </c>
      <c r="Y56" s="75">
        <f t="shared" si="9"/>
        <v>281924.22794899991</v>
      </c>
    </row>
    <row r="57" spans="1:25" x14ac:dyDescent="0.25">
      <c r="A57" s="153">
        <v>54</v>
      </c>
      <c r="B57" s="22" t="s">
        <v>27</v>
      </c>
      <c r="C57" s="222" t="s">
        <v>770</v>
      </c>
      <c r="D57" s="7" t="s">
        <v>28</v>
      </c>
      <c r="E57" s="7">
        <v>1</v>
      </c>
      <c r="F57" s="15">
        <v>712506.44</v>
      </c>
      <c r="G57" s="7"/>
      <c r="H57" s="7"/>
      <c r="I57" s="7"/>
      <c r="J57" s="5"/>
      <c r="K57" s="15">
        <f t="shared" si="1"/>
        <v>712506.44</v>
      </c>
      <c r="L57" s="7">
        <v>12</v>
      </c>
      <c r="M57" s="5"/>
      <c r="N57" s="80">
        <v>0.19969999999999999</v>
      </c>
      <c r="O57" s="18">
        <v>0.25</v>
      </c>
      <c r="P57" s="15">
        <v>64773.31</v>
      </c>
      <c r="Q57" s="17">
        <f>+'[1]CEDAR 032=01,80'!O57+'[1]CEDAR 032=01,80'!P57</f>
        <v>259093.25</v>
      </c>
      <c r="R57" s="17">
        <v>129546.625</v>
      </c>
      <c r="S57" s="17">
        <v>142287.53606799999</v>
      </c>
      <c r="T57" s="17">
        <f t="shared" si="4"/>
        <v>11857.294672333332</v>
      </c>
      <c r="U57" s="17">
        <f t="shared" si="8"/>
        <v>142287.53606799999</v>
      </c>
      <c r="V57" s="17">
        <f t="shared" si="2"/>
        <v>595700.72106799996</v>
      </c>
      <c r="W57" s="57">
        <f t="shared" si="7"/>
        <v>298384.74286399991</v>
      </c>
      <c r="X57" s="78">
        <f t="shared" si="5"/>
        <v>106715.65205099998</v>
      </c>
      <c r="Y57" s="75">
        <f t="shared" si="9"/>
        <v>281924.22794899991</v>
      </c>
    </row>
    <row r="58" spans="1:25" x14ac:dyDescent="0.25">
      <c r="A58" s="153">
        <v>55</v>
      </c>
      <c r="B58" s="22" t="s">
        <v>27</v>
      </c>
      <c r="C58" s="222" t="s">
        <v>771</v>
      </c>
      <c r="D58" s="7" t="s">
        <v>32</v>
      </c>
      <c r="E58" s="7">
        <v>1</v>
      </c>
      <c r="F58" s="15">
        <v>126224.31</v>
      </c>
      <c r="G58" s="7"/>
      <c r="H58" s="7"/>
      <c r="I58" s="7"/>
      <c r="J58" s="5"/>
      <c r="K58" s="15">
        <f t="shared" si="1"/>
        <v>126224.31</v>
      </c>
      <c r="L58" s="7">
        <v>12</v>
      </c>
      <c r="M58" s="5"/>
      <c r="N58" s="80">
        <v>0.19969999999999999</v>
      </c>
      <c r="O58" s="18">
        <v>0.25</v>
      </c>
      <c r="P58" s="15">
        <v>11474.94</v>
      </c>
      <c r="Q58" s="17">
        <f>+'[1]CEDAR 032=01,80'!O58+'[1]CEDAR 032=01,80'!P58</f>
        <v>45899.75</v>
      </c>
      <c r="R58" s="17">
        <v>22949.875</v>
      </c>
      <c r="S58" s="17">
        <v>25206.994706999998</v>
      </c>
      <c r="T58" s="17">
        <f t="shared" si="4"/>
        <v>2100.58289225</v>
      </c>
      <c r="U58" s="17">
        <f t="shared" si="8"/>
        <v>25206.994706999998</v>
      </c>
      <c r="V58" s="17">
        <f t="shared" si="2"/>
        <v>105531.55970700001</v>
      </c>
      <c r="W58" s="57">
        <f t="shared" si="7"/>
        <v>52860.445585999994</v>
      </c>
      <c r="X58" s="78">
        <f t="shared" si="5"/>
        <v>18905.24603025</v>
      </c>
      <c r="Y58" s="75">
        <f t="shared" si="9"/>
        <v>49944.373969749999</v>
      </c>
    </row>
    <row r="59" spans="1:25" x14ac:dyDescent="0.25">
      <c r="A59" s="153">
        <v>56</v>
      </c>
      <c r="B59" s="22" t="s">
        <v>27</v>
      </c>
      <c r="C59" s="222" t="s">
        <v>772</v>
      </c>
      <c r="D59" s="7" t="s">
        <v>32</v>
      </c>
      <c r="E59" s="7">
        <v>1</v>
      </c>
      <c r="F59" s="15">
        <v>126224.31</v>
      </c>
      <c r="G59" s="7"/>
      <c r="H59" s="7"/>
      <c r="I59" s="7"/>
      <c r="J59" s="5"/>
      <c r="K59" s="15">
        <f t="shared" si="1"/>
        <v>126224.31</v>
      </c>
      <c r="L59" s="7">
        <v>12</v>
      </c>
      <c r="M59" s="5"/>
      <c r="N59" s="80">
        <v>0.19969999999999999</v>
      </c>
      <c r="O59" s="18">
        <v>0.25</v>
      </c>
      <c r="P59" s="15">
        <v>11474.94</v>
      </c>
      <c r="Q59" s="17">
        <f>+'[1]CEDAR 032=01,80'!O59+'[1]CEDAR 032=01,80'!P59</f>
        <v>45899.75</v>
      </c>
      <c r="R59" s="17">
        <v>22949.875</v>
      </c>
      <c r="S59" s="17">
        <v>25206.994706999998</v>
      </c>
      <c r="T59" s="17">
        <f t="shared" si="4"/>
        <v>2100.58289225</v>
      </c>
      <c r="U59" s="17">
        <f t="shared" si="8"/>
        <v>25206.994706999998</v>
      </c>
      <c r="V59" s="17">
        <f t="shared" si="2"/>
        <v>105531.55970700001</v>
      </c>
      <c r="W59" s="57">
        <f t="shared" si="7"/>
        <v>52860.445585999994</v>
      </c>
      <c r="X59" s="78">
        <f t="shared" si="5"/>
        <v>18905.24603025</v>
      </c>
      <c r="Y59" s="75">
        <f t="shared" si="9"/>
        <v>49944.373969749999</v>
      </c>
    </row>
    <row r="60" spans="1:25" x14ac:dyDescent="0.25">
      <c r="A60" s="153">
        <v>57</v>
      </c>
      <c r="B60" s="22" t="s">
        <v>27</v>
      </c>
      <c r="C60" s="222" t="s">
        <v>773</v>
      </c>
      <c r="D60" s="7" t="s">
        <v>32</v>
      </c>
      <c r="E60" s="7">
        <v>1</v>
      </c>
      <c r="F60" s="15">
        <v>126224.31</v>
      </c>
      <c r="G60" s="7"/>
      <c r="H60" s="7"/>
      <c r="I60" s="7"/>
      <c r="J60" s="5"/>
      <c r="K60" s="15">
        <f t="shared" si="1"/>
        <v>126224.31</v>
      </c>
      <c r="L60" s="7">
        <v>12</v>
      </c>
      <c r="M60" s="5"/>
      <c r="N60" s="80">
        <v>0.19969999999999999</v>
      </c>
      <c r="O60" s="18">
        <v>0.25</v>
      </c>
      <c r="P60" s="15">
        <v>11474.94</v>
      </c>
      <c r="Q60" s="17">
        <f>+'[1]CEDAR 032=01,80'!O60+'[1]CEDAR 032=01,80'!P60</f>
        <v>45899.75</v>
      </c>
      <c r="R60" s="17">
        <v>22949.875</v>
      </c>
      <c r="S60" s="17">
        <v>25206.994706999998</v>
      </c>
      <c r="T60" s="17">
        <f t="shared" si="4"/>
        <v>2100.58289225</v>
      </c>
      <c r="U60" s="17">
        <f t="shared" si="8"/>
        <v>25206.994706999998</v>
      </c>
      <c r="V60" s="17">
        <f t="shared" si="2"/>
        <v>105531.55970700001</v>
      </c>
      <c r="W60" s="57">
        <f t="shared" si="7"/>
        <v>52860.445585999994</v>
      </c>
      <c r="X60" s="78">
        <f t="shared" si="5"/>
        <v>18905.24603025</v>
      </c>
      <c r="Y60" s="75">
        <f t="shared" si="9"/>
        <v>49944.373969749999</v>
      </c>
    </row>
    <row r="61" spans="1:25" x14ac:dyDescent="0.25">
      <c r="A61" s="153">
        <v>58</v>
      </c>
      <c r="B61" s="22" t="s">
        <v>27</v>
      </c>
      <c r="C61" s="222" t="s">
        <v>774</v>
      </c>
      <c r="D61" s="7" t="s">
        <v>32</v>
      </c>
      <c r="E61" s="7">
        <v>1</v>
      </c>
      <c r="F61" s="15">
        <v>126224.31</v>
      </c>
      <c r="G61" s="7"/>
      <c r="H61" s="7"/>
      <c r="I61" s="7"/>
      <c r="J61" s="5"/>
      <c r="K61" s="15">
        <f t="shared" si="1"/>
        <v>126224.31</v>
      </c>
      <c r="L61" s="7">
        <v>12</v>
      </c>
      <c r="M61" s="5"/>
      <c r="N61" s="80">
        <v>0.19969999999999999</v>
      </c>
      <c r="O61" s="18">
        <v>0.25</v>
      </c>
      <c r="P61" s="15">
        <v>11474.94</v>
      </c>
      <c r="Q61" s="17">
        <f>+'[1]CEDAR 032=01,80'!O61+'[1]CEDAR 032=01,80'!P61</f>
        <v>45899.75</v>
      </c>
      <c r="R61" s="17">
        <v>22949.875</v>
      </c>
      <c r="S61" s="17">
        <v>25206.994706999998</v>
      </c>
      <c r="T61" s="17">
        <f t="shared" si="4"/>
        <v>2100.58289225</v>
      </c>
      <c r="U61" s="17">
        <f t="shared" si="8"/>
        <v>25206.994706999998</v>
      </c>
      <c r="V61" s="17">
        <f t="shared" si="2"/>
        <v>105531.55970700001</v>
      </c>
      <c r="W61" s="57">
        <f t="shared" si="7"/>
        <v>52860.445585999994</v>
      </c>
      <c r="X61" s="78">
        <f t="shared" si="5"/>
        <v>18905.24603025</v>
      </c>
      <c r="Y61" s="75">
        <f t="shared" si="9"/>
        <v>49944.373969749999</v>
      </c>
    </row>
    <row r="62" spans="1:25" x14ac:dyDescent="0.25">
      <c r="A62" s="153">
        <v>59</v>
      </c>
      <c r="B62" s="22" t="s">
        <v>27</v>
      </c>
      <c r="C62" s="222" t="s">
        <v>775</v>
      </c>
      <c r="D62" s="7" t="s">
        <v>32</v>
      </c>
      <c r="E62" s="7">
        <v>1</v>
      </c>
      <c r="F62" s="15">
        <v>126224.31</v>
      </c>
      <c r="G62" s="7"/>
      <c r="H62" s="7"/>
      <c r="I62" s="7"/>
      <c r="J62" s="5"/>
      <c r="K62" s="15">
        <f t="shared" si="1"/>
        <v>126224.31</v>
      </c>
      <c r="L62" s="7">
        <v>12</v>
      </c>
      <c r="M62" s="5"/>
      <c r="N62" s="80">
        <v>0.19969999999999999</v>
      </c>
      <c r="O62" s="18">
        <v>0.25</v>
      </c>
      <c r="P62" s="15">
        <v>11474.94</v>
      </c>
      <c r="Q62" s="17">
        <f>+'[1]CEDAR 032=01,80'!O62+'[1]CEDAR 032=01,80'!P62</f>
        <v>45899.75</v>
      </c>
      <c r="R62" s="17">
        <v>22949.875</v>
      </c>
      <c r="S62" s="17">
        <v>25206.994706999998</v>
      </c>
      <c r="T62" s="17">
        <f t="shared" si="4"/>
        <v>2100.58289225</v>
      </c>
      <c r="U62" s="17">
        <f t="shared" si="8"/>
        <v>25206.994706999998</v>
      </c>
      <c r="V62" s="17">
        <f t="shared" si="2"/>
        <v>105531.55970700001</v>
      </c>
      <c r="W62" s="57">
        <f t="shared" si="7"/>
        <v>52860.445585999994</v>
      </c>
      <c r="X62" s="78">
        <f t="shared" si="5"/>
        <v>18905.24603025</v>
      </c>
      <c r="Y62" s="75">
        <f t="shared" si="9"/>
        <v>49944.373969749999</v>
      </c>
    </row>
    <row r="63" spans="1:25" x14ac:dyDescent="0.25">
      <c r="A63" s="153">
        <v>60</v>
      </c>
      <c r="B63" s="22" t="s">
        <v>27</v>
      </c>
      <c r="C63" s="222" t="s">
        <v>776</v>
      </c>
      <c r="D63" s="7" t="s">
        <v>32</v>
      </c>
      <c r="E63" s="7">
        <v>1</v>
      </c>
      <c r="F63" s="15">
        <v>126224.31</v>
      </c>
      <c r="G63" s="7"/>
      <c r="H63" s="7"/>
      <c r="I63" s="7"/>
      <c r="J63" s="5"/>
      <c r="K63" s="15">
        <f t="shared" si="1"/>
        <v>126224.31</v>
      </c>
      <c r="L63" s="7">
        <v>12</v>
      </c>
      <c r="M63" s="5"/>
      <c r="N63" s="80">
        <v>0.19969999999999999</v>
      </c>
      <c r="O63" s="18">
        <v>0.25</v>
      </c>
      <c r="P63" s="15">
        <v>11474.94</v>
      </c>
      <c r="Q63" s="17">
        <f>+'[1]CEDAR 032=01,80'!O63+'[1]CEDAR 032=01,80'!P63</f>
        <v>45899.75</v>
      </c>
      <c r="R63" s="17">
        <v>22949.875</v>
      </c>
      <c r="S63" s="17">
        <v>25206.994706999998</v>
      </c>
      <c r="T63" s="17">
        <f t="shared" si="4"/>
        <v>2100.58289225</v>
      </c>
      <c r="U63" s="17">
        <f t="shared" si="8"/>
        <v>25206.994706999998</v>
      </c>
      <c r="V63" s="17">
        <f t="shared" si="2"/>
        <v>105531.55970700001</v>
      </c>
      <c r="W63" s="57">
        <f t="shared" si="7"/>
        <v>52860.445585999994</v>
      </c>
      <c r="X63" s="78">
        <f t="shared" si="5"/>
        <v>18905.24603025</v>
      </c>
      <c r="Y63" s="75">
        <f t="shared" si="9"/>
        <v>49944.373969749999</v>
      </c>
    </row>
    <row r="64" spans="1:25" x14ac:dyDescent="0.25">
      <c r="A64" s="153">
        <v>61</v>
      </c>
      <c r="B64" s="22" t="s">
        <v>27</v>
      </c>
      <c r="C64" s="222" t="s">
        <v>777</v>
      </c>
      <c r="D64" s="7" t="s">
        <v>36</v>
      </c>
      <c r="E64" s="7">
        <v>1</v>
      </c>
      <c r="F64" s="15">
        <v>138685.29</v>
      </c>
      <c r="G64" s="7"/>
      <c r="H64" s="7"/>
      <c r="I64" s="7"/>
      <c r="J64" s="5"/>
      <c r="K64" s="15">
        <f t="shared" si="1"/>
        <v>138685.29</v>
      </c>
      <c r="L64" s="7">
        <v>12</v>
      </c>
      <c r="M64" s="5"/>
      <c r="N64" s="80">
        <v>0.19969999999999999</v>
      </c>
      <c r="O64" s="18">
        <v>0.25</v>
      </c>
      <c r="P64" s="15">
        <v>8157.96</v>
      </c>
      <c r="Q64" s="17">
        <f>+'[1]CEDAR 032=01,80'!O64+'[1]CEDAR 032=01,80'!P64</f>
        <v>48947.75</v>
      </c>
      <c r="R64" s="17">
        <v>24473.875</v>
      </c>
      <c r="S64" s="17">
        <v>27695.452412999999</v>
      </c>
      <c r="T64" s="17">
        <f t="shared" si="4"/>
        <v>2307.9543677500001</v>
      </c>
      <c r="U64" s="17">
        <f t="shared" si="8"/>
        <v>27695.452412999999</v>
      </c>
      <c r="V64" s="17">
        <f t="shared" si="2"/>
        <v>109275.03741299998</v>
      </c>
      <c r="W64" s="57">
        <f t="shared" si="7"/>
        <v>58820.510174000017</v>
      </c>
      <c r="X64" s="78">
        <f t="shared" si="5"/>
        <v>20771.589309750001</v>
      </c>
      <c r="Y64" s="75">
        <f t="shared" si="9"/>
        <v>60807.990690250001</v>
      </c>
    </row>
    <row r="65" spans="1:25" x14ac:dyDescent="0.25">
      <c r="A65" s="153">
        <v>62</v>
      </c>
      <c r="B65" s="22" t="s">
        <v>27</v>
      </c>
      <c r="C65" s="222" t="s">
        <v>778</v>
      </c>
      <c r="D65" s="7" t="s">
        <v>36</v>
      </c>
      <c r="E65" s="7">
        <v>1</v>
      </c>
      <c r="F65" s="15">
        <v>138685.29</v>
      </c>
      <c r="G65" s="7"/>
      <c r="H65" s="7"/>
      <c r="I65" s="7"/>
      <c r="J65" s="5"/>
      <c r="K65" s="15">
        <f t="shared" si="1"/>
        <v>138685.29</v>
      </c>
      <c r="L65" s="7">
        <v>12</v>
      </c>
      <c r="M65" s="5"/>
      <c r="N65" s="80">
        <v>0.19969999999999999</v>
      </c>
      <c r="O65" s="18">
        <v>0.25</v>
      </c>
      <c r="P65" s="15">
        <v>8157.96</v>
      </c>
      <c r="Q65" s="17">
        <f>+'[1]CEDAR 032=01,80'!O65+'[1]CEDAR 032=01,80'!P65</f>
        <v>48947.75</v>
      </c>
      <c r="R65" s="17">
        <v>24473.875</v>
      </c>
      <c r="S65" s="17">
        <v>27695.452412999999</v>
      </c>
      <c r="T65" s="17">
        <f t="shared" si="4"/>
        <v>2307.9543677500001</v>
      </c>
      <c r="U65" s="17">
        <f t="shared" si="8"/>
        <v>27695.452412999999</v>
      </c>
      <c r="V65" s="17">
        <f t="shared" si="2"/>
        <v>109275.03741299998</v>
      </c>
      <c r="W65" s="57">
        <f t="shared" si="7"/>
        <v>58820.510174000017</v>
      </c>
      <c r="X65" s="78">
        <f t="shared" si="5"/>
        <v>20771.589309750001</v>
      </c>
      <c r="Y65" s="75">
        <f t="shared" si="9"/>
        <v>60807.990690250001</v>
      </c>
    </row>
    <row r="66" spans="1:25" x14ac:dyDescent="0.25">
      <c r="A66" s="153">
        <v>63</v>
      </c>
      <c r="B66" s="22" t="s">
        <v>27</v>
      </c>
      <c r="C66" s="222" t="s">
        <v>779</v>
      </c>
      <c r="D66" s="7" t="s">
        <v>36</v>
      </c>
      <c r="E66" s="7">
        <v>1</v>
      </c>
      <c r="F66" s="15">
        <v>138685.29</v>
      </c>
      <c r="G66" s="7"/>
      <c r="H66" s="7"/>
      <c r="I66" s="7"/>
      <c r="J66" s="5"/>
      <c r="K66" s="15">
        <f t="shared" si="1"/>
        <v>138685.29</v>
      </c>
      <c r="L66" s="7">
        <v>12</v>
      </c>
      <c r="M66" s="5"/>
      <c r="N66" s="80">
        <v>0.19969999999999999</v>
      </c>
      <c r="O66" s="18">
        <v>0.25</v>
      </c>
      <c r="P66" s="15">
        <v>8157.96</v>
      </c>
      <c r="Q66" s="17">
        <f>+'[1]CEDAR 032=01,80'!O66+'[1]CEDAR 032=01,80'!P66</f>
        <v>48947.75</v>
      </c>
      <c r="R66" s="17">
        <v>24473.875</v>
      </c>
      <c r="S66" s="17">
        <v>27695.452412999999</v>
      </c>
      <c r="T66" s="17">
        <f t="shared" si="4"/>
        <v>2307.9543677500001</v>
      </c>
      <c r="U66" s="17">
        <f t="shared" si="8"/>
        <v>27695.452412999999</v>
      </c>
      <c r="V66" s="17">
        <f t="shared" si="2"/>
        <v>109275.03741299998</v>
      </c>
      <c r="W66" s="57">
        <f t="shared" si="7"/>
        <v>58820.510174000017</v>
      </c>
      <c r="X66" s="78">
        <f t="shared" si="5"/>
        <v>20771.589309750001</v>
      </c>
      <c r="Y66" s="75">
        <f t="shared" si="9"/>
        <v>60807.990690250001</v>
      </c>
    </row>
    <row r="67" spans="1:25" x14ac:dyDescent="0.25">
      <c r="A67" s="153">
        <v>64</v>
      </c>
      <c r="B67" s="22" t="s">
        <v>27</v>
      </c>
      <c r="C67" s="222" t="s">
        <v>780</v>
      </c>
      <c r="D67" s="7" t="s">
        <v>38</v>
      </c>
      <c r="E67" s="7">
        <v>1</v>
      </c>
      <c r="F67" s="15">
        <v>271319.14</v>
      </c>
      <c r="G67" s="7"/>
      <c r="H67" s="7"/>
      <c r="I67" s="7"/>
      <c r="J67" s="5"/>
      <c r="K67" s="15">
        <f t="shared" si="1"/>
        <v>271319.14</v>
      </c>
      <c r="L67" s="7">
        <v>12</v>
      </c>
      <c r="M67" s="5"/>
      <c r="N67" s="80">
        <v>0.19969999999999999</v>
      </c>
      <c r="O67" s="18">
        <v>0.25</v>
      </c>
      <c r="P67" s="15">
        <v>15959.94</v>
      </c>
      <c r="Q67" s="17">
        <f>+'[1]CEDAR 032=01,80'!O67+'[1]CEDAR 032=01,80'!P67</f>
        <v>95759.69</v>
      </c>
      <c r="R67" s="17">
        <v>47879.846250000002</v>
      </c>
      <c r="S67" s="17">
        <v>54182.432258000001</v>
      </c>
      <c r="T67" s="17">
        <f t="shared" si="4"/>
        <v>4515.202688166667</v>
      </c>
      <c r="U67" s="17">
        <f t="shared" si="8"/>
        <v>54182.432258000001</v>
      </c>
      <c r="V67" s="17">
        <f t="shared" si="2"/>
        <v>213781.90850800002</v>
      </c>
      <c r="W67" s="57">
        <f t="shared" si="7"/>
        <v>115074.429234</v>
      </c>
      <c r="X67" s="78">
        <f t="shared" si="5"/>
        <v>40636.824193500004</v>
      </c>
      <c r="Y67" s="75">
        <f t="shared" si="9"/>
        <v>118962.6858065</v>
      </c>
    </row>
    <row r="68" spans="1:25" x14ac:dyDescent="0.25">
      <c r="A68" s="153">
        <v>65</v>
      </c>
      <c r="B68" s="22" t="s">
        <v>27</v>
      </c>
      <c r="C68" s="222" t="s">
        <v>781</v>
      </c>
      <c r="D68" s="7" t="s">
        <v>38</v>
      </c>
      <c r="E68" s="7">
        <v>1</v>
      </c>
      <c r="F68" s="15">
        <v>271319.14</v>
      </c>
      <c r="G68" s="7"/>
      <c r="H68" s="7"/>
      <c r="I68" s="7"/>
      <c r="J68" s="5"/>
      <c r="K68" s="15">
        <f t="shared" si="1"/>
        <v>271319.14</v>
      </c>
      <c r="L68" s="7">
        <v>12</v>
      </c>
      <c r="M68" s="5"/>
      <c r="N68" s="80">
        <v>0.19969999999999999</v>
      </c>
      <c r="O68" s="18">
        <v>0.25</v>
      </c>
      <c r="P68" s="15">
        <v>15959.94</v>
      </c>
      <c r="Q68" s="17">
        <f>+'[1]CEDAR 032=01,80'!O68+'[1]CEDAR 032=01,80'!P68</f>
        <v>95759.69</v>
      </c>
      <c r="R68" s="17">
        <v>47879.846250000002</v>
      </c>
      <c r="S68" s="17">
        <v>54182.432258000001</v>
      </c>
      <c r="T68" s="17">
        <f t="shared" si="4"/>
        <v>4515.202688166667</v>
      </c>
      <c r="U68" s="17">
        <f t="shared" si="8"/>
        <v>54182.432258000001</v>
      </c>
      <c r="V68" s="17">
        <f t="shared" si="2"/>
        <v>213781.90850800002</v>
      </c>
      <c r="W68" s="57">
        <f t="shared" si="7"/>
        <v>115074.429234</v>
      </c>
      <c r="X68" s="78">
        <f t="shared" si="5"/>
        <v>40636.824193500004</v>
      </c>
      <c r="Y68" s="75">
        <f t="shared" si="9"/>
        <v>118962.6858065</v>
      </c>
    </row>
    <row r="69" spans="1:25" x14ac:dyDescent="0.25">
      <c r="A69" s="153">
        <v>66</v>
      </c>
      <c r="B69" s="22" t="s">
        <v>27</v>
      </c>
      <c r="C69" s="222" t="s">
        <v>782</v>
      </c>
      <c r="D69" s="7" t="s">
        <v>38</v>
      </c>
      <c r="E69" s="7">
        <v>1</v>
      </c>
      <c r="F69" s="15">
        <v>271678.08000000002</v>
      </c>
      <c r="G69" s="7"/>
      <c r="H69" s="7"/>
      <c r="I69" s="7"/>
      <c r="J69" s="5"/>
      <c r="K69" s="15">
        <f t="shared" si="1"/>
        <v>271678.08000000002</v>
      </c>
      <c r="L69" s="7">
        <v>12</v>
      </c>
      <c r="M69" s="5"/>
      <c r="N69" s="80">
        <v>0.19969999999999999</v>
      </c>
      <c r="O69" s="18">
        <v>0.25</v>
      </c>
      <c r="P69" s="15">
        <v>15981.04</v>
      </c>
      <c r="Q69" s="17">
        <f>+'[1]CEDAR 032=01,80'!O69+'[1]CEDAR 032=01,80'!P69</f>
        <v>95886.38</v>
      </c>
      <c r="R69" s="17">
        <v>47943.1875</v>
      </c>
      <c r="S69" s="17">
        <v>54254.112576</v>
      </c>
      <c r="T69" s="17">
        <f t="shared" si="4"/>
        <v>4521.1760480000003</v>
      </c>
      <c r="U69" s="17">
        <f t="shared" si="8"/>
        <v>54254.112576</v>
      </c>
      <c r="V69" s="17">
        <f t="shared" si="2"/>
        <v>214064.72007600003</v>
      </c>
      <c r="W69" s="57">
        <f t="shared" si="7"/>
        <v>115226.66734800003</v>
      </c>
      <c r="X69" s="78">
        <f t="shared" si="5"/>
        <v>40690.584432000003</v>
      </c>
      <c r="Y69" s="75">
        <f t="shared" si="9"/>
        <v>119120.075568</v>
      </c>
    </row>
    <row r="70" spans="1:25" x14ac:dyDescent="0.25">
      <c r="A70" s="153">
        <v>67</v>
      </c>
      <c r="B70" s="22" t="s">
        <v>27</v>
      </c>
      <c r="C70" s="222" t="s">
        <v>783</v>
      </c>
      <c r="D70" s="7" t="s">
        <v>38</v>
      </c>
      <c r="E70" s="7">
        <v>1</v>
      </c>
      <c r="F70" s="15">
        <v>271678.08000000002</v>
      </c>
      <c r="G70" s="7"/>
      <c r="H70" s="7"/>
      <c r="I70" s="7"/>
      <c r="J70" s="5"/>
      <c r="K70" s="15">
        <f t="shared" si="1"/>
        <v>271678.08000000002</v>
      </c>
      <c r="L70" s="7">
        <v>12</v>
      </c>
      <c r="M70" s="5"/>
      <c r="N70" s="80">
        <v>0.19969999999999999</v>
      </c>
      <c r="O70" s="18">
        <v>0.25</v>
      </c>
      <c r="P70" s="15">
        <v>15981.04</v>
      </c>
      <c r="Q70" s="17">
        <f>+'[1]CEDAR 032=01,80'!O70+'[1]CEDAR 032=01,80'!P70</f>
        <v>95886.38</v>
      </c>
      <c r="R70" s="17">
        <v>47943.1875</v>
      </c>
      <c r="S70" s="17">
        <v>54254.112576</v>
      </c>
      <c r="T70" s="17">
        <f t="shared" si="4"/>
        <v>4521.1760480000003</v>
      </c>
      <c r="U70" s="17">
        <f t="shared" si="8"/>
        <v>54254.112576</v>
      </c>
      <c r="V70" s="17">
        <f t="shared" si="2"/>
        <v>214064.72007600003</v>
      </c>
      <c r="W70" s="57">
        <f t="shared" si="7"/>
        <v>115226.66734800003</v>
      </c>
      <c r="X70" s="78">
        <f t="shared" si="5"/>
        <v>40690.584432000003</v>
      </c>
      <c r="Y70" s="75">
        <f t="shared" si="9"/>
        <v>119120.075568</v>
      </c>
    </row>
    <row r="71" spans="1:25" x14ac:dyDescent="0.25">
      <c r="A71" s="153">
        <v>68</v>
      </c>
      <c r="B71" s="22" t="s">
        <v>27</v>
      </c>
      <c r="C71" s="222" t="s">
        <v>784</v>
      </c>
      <c r="D71" s="7" t="s">
        <v>39</v>
      </c>
      <c r="E71" s="7"/>
      <c r="F71" s="17">
        <v>493125</v>
      </c>
      <c r="G71" s="7">
        <v>4</v>
      </c>
      <c r="I71" s="7"/>
      <c r="J71" s="5"/>
      <c r="K71" s="15">
        <f t="shared" si="1"/>
        <v>493125</v>
      </c>
      <c r="L71" s="7">
        <v>8</v>
      </c>
      <c r="M71" s="5"/>
      <c r="N71" s="80">
        <v>0.19969999999999999</v>
      </c>
      <c r="O71" s="18">
        <v>0.25</v>
      </c>
      <c r="P71" s="15">
        <v>0</v>
      </c>
      <c r="Q71" s="17">
        <f>+'[1]CEDAR 032=01,80'!O71+'[1]CEDAR 032=01,80'!P71</f>
        <v>98625</v>
      </c>
      <c r="R71" s="17">
        <v>73968.75</v>
      </c>
      <c r="S71" s="17">
        <v>98477.0625</v>
      </c>
      <c r="T71" s="17">
        <f t="shared" si="4"/>
        <v>8206.421875</v>
      </c>
      <c r="U71" s="17">
        <f t="shared" si="8"/>
        <v>98477.0625</v>
      </c>
      <c r="V71" s="17">
        <f t="shared" si="2"/>
        <v>271070.8125</v>
      </c>
      <c r="W71" s="57">
        <f t="shared" si="7"/>
        <v>222202.125</v>
      </c>
      <c r="X71" s="78">
        <f t="shared" si="5"/>
        <v>73857.796875</v>
      </c>
      <c r="Y71" s="75">
        <f t="shared" si="9"/>
        <v>320642.203125</v>
      </c>
    </row>
    <row r="72" spans="1:25" x14ac:dyDescent="0.25">
      <c r="A72" s="153">
        <v>69</v>
      </c>
      <c r="B72" s="22" t="s">
        <v>27</v>
      </c>
      <c r="C72" s="222" t="s">
        <v>785</v>
      </c>
      <c r="D72" s="7" t="s">
        <v>39</v>
      </c>
      <c r="E72" s="7"/>
      <c r="F72" s="17">
        <v>493125</v>
      </c>
      <c r="G72" s="7">
        <v>4</v>
      </c>
      <c r="I72" s="7"/>
      <c r="J72" s="5"/>
      <c r="K72" s="15">
        <f t="shared" si="1"/>
        <v>493125</v>
      </c>
      <c r="L72" s="7">
        <v>8</v>
      </c>
      <c r="M72" s="5"/>
      <c r="N72" s="80">
        <v>0.19969999999999999</v>
      </c>
      <c r="O72" s="18">
        <v>0.25</v>
      </c>
      <c r="P72" s="15">
        <v>0</v>
      </c>
      <c r="Q72" s="17">
        <f>+'[1]CEDAR 032=01,80'!O72+'[1]CEDAR 032=01,80'!P72</f>
        <v>98625</v>
      </c>
      <c r="R72" s="17">
        <v>73968.75</v>
      </c>
      <c r="S72" s="17">
        <v>98477.0625</v>
      </c>
      <c r="T72" s="17">
        <f t="shared" si="4"/>
        <v>8206.421875</v>
      </c>
      <c r="U72" s="17">
        <f t="shared" si="8"/>
        <v>98477.0625</v>
      </c>
      <c r="V72" s="17">
        <f t="shared" si="2"/>
        <v>271070.8125</v>
      </c>
      <c r="W72" s="57">
        <f t="shared" si="7"/>
        <v>222202.125</v>
      </c>
      <c r="X72" s="78">
        <f t="shared" si="5"/>
        <v>73857.796875</v>
      </c>
      <c r="Y72" s="75">
        <f t="shared" si="9"/>
        <v>320642.203125</v>
      </c>
    </row>
    <row r="73" spans="1:25" x14ac:dyDescent="0.25">
      <c r="A73" s="153">
        <v>70</v>
      </c>
      <c r="B73" s="22" t="s">
        <v>27</v>
      </c>
      <c r="C73" s="222" t="s">
        <v>786</v>
      </c>
      <c r="D73" s="7" t="s">
        <v>39</v>
      </c>
      <c r="E73" s="7"/>
      <c r="F73" s="17">
        <v>493125</v>
      </c>
      <c r="G73" s="7">
        <v>4</v>
      </c>
      <c r="I73" s="7"/>
      <c r="J73" s="5"/>
      <c r="K73" s="15">
        <f t="shared" si="1"/>
        <v>493125</v>
      </c>
      <c r="L73" s="7">
        <v>8</v>
      </c>
      <c r="M73" s="5"/>
      <c r="N73" s="80">
        <v>0.19969999999999999</v>
      </c>
      <c r="O73" s="18">
        <v>0.25</v>
      </c>
      <c r="P73" s="15">
        <v>0</v>
      </c>
      <c r="Q73" s="17">
        <f>+'[1]CEDAR 032=01,80'!O73+'[1]CEDAR 032=01,80'!P73</f>
        <v>98625</v>
      </c>
      <c r="R73" s="17">
        <v>73968.75</v>
      </c>
      <c r="S73" s="17">
        <v>98477.0625</v>
      </c>
      <c r="T73" s="17">
        <f t="shared" si="4"/>
        <v>8206.421875</v>
      </c>
      <c r="U73" s="17">
        <f t="shared" si="8"/>
        <v>98477.0625</v>
      </c>
      <c r="V73" s="17">
        <f t="shared" si="2"/>
        <v>271070.8125</v>
      </c>
      <c r="W73" s="57">
        <f t="shared" si="7"/>
        <v>222202.125</v>
      </c>
      <c r="X73" s="78">
        <f t="shared" si="5"/>
        <v>73857.796875</v>
      </c>
      <c r="Y73" s="75">
        <f t="shared" si="9"/>
        <v>320642.203125</v>
      </c>
    </row>
    <row r="74" spans="1:25" x14ac:dyDescent="0.25">
      <c r="A74" s="153">
        <v>71</v>
      </c>
      <c r="B74" s="22" t="s">
        <v>27</v>
      </c>
      <c r="C74" s="222" t="s">
        <v>787</v>
      </c>
      <c r="D74" s="7" t="s">
        <v>39</v>
      </c>
      <c r="E74" s="7"/>
      <c r="F74" s="17">
        <v>493125</v>
      </c>
      <c r="G74" s="7">
        <v>4</v>
      </c>
      <c r="I74" s="7"/>
      <c r="J74" s="5"/>
      <c r="K74" s="15">
        <f t="shared" si="1"/>
        <v>493125</v>
      </c>
      <c r="L74" s="7">
        <v>8</v>
      </c>
      <c r="M74" s="5"/>
      <c r="N74" s="80">
        <v>0.19969999999999999</v>
      </c>
      <c r="O74" s="18">
        <v>0.25</v>
      </c>
      <c r="P74" s="15">
        <v>0</v>
      </c>
      <c r="Q74" s="17">
        <f>+'[1]CEDAR 032=01,80'!O74+'[1]CEDAR 032=01,80'!P74</f>
        <v>98625</v>
      </c>
      <c r="R74" s="17">
        <v>73968.75</v>
      </c>
      <c r="S74" s="17">
        <v>98477.0625</v>
      </c>
      <c r="T74" s="17">
        <f t="shared" si="4"/>
        <v>8206.421875</v>
      </c>
      <c r="U74" s="17">
        <f t="shared" si="8"/>
        <v>98477.0625</v>
      </c>
      <c r="V74" s="17">
        <f>+P74+Q74+R74+U74</f>
        <v>271070.8125</v>
      </c>
      <c r="W74" s="57">
        <f t="shared" si="7"/>
        <v>222202.125</v>
      </c>
      <c r="X74" s="78">
        <f t="shared" si="5"/>
        <v>73857.796875</v>
      </c>
      <c r="Y74" s="75">
        <f t="shared" si="9"/>
        <v>320642.203125</v>
      </c>
    </row>
    <row r="75" spans="1:25" x14ac:dyDescent="0.25">
      <c r="A75" s="153">
        <v>72</v>
      </c>
      <c r="B75" s="22" t="s">
        <v>27</v>
      </c>
      <c r="C75" s="222" t="s">
        <v>788</v>
      </c>
      <c r="D75" s="7" t="s">
        <v>36</v>
      </c>
      <c r="E75" s="7"/>
      <c r="F75" s="17">
        <v>146801.13999999998</v>
      </c>
      <c r="G75" s="7">
        <v>10</v>
      </c>
      <c r="I75" s="7"/>
      <c r="J75" s="5"/>
      <c r="K75" s="15">
        <f t="shared" si="1"/>
        <v>146801.13999999998</v>
      </c>
      <c r="L75" s="7">
        <v>2</v>
      </c>
      <c r="M75" s="5"/>
      <c r="N75" s="80">
        <v>0.19969999999999999</v>
      </c>
      <c r="O75" s="18">
        <v>0.25</v>
      </c>
      <c r="P75" s="15">
        <v>0</v>
      </c>
      <c r="Q75" s="17">
        <f>+'[1]CEDAR 032=01,80'!O75+'[1]CEDAR 032=01,80'!P75</f>
        <v>6382.66</v>
      </c>
      <c r="R75" s="17">
        <v>19147.974999999999</v>
      </c>
      <c r="S75" s="17">
        <v>29316.187657999995</v>
      </c>
      <c r="T75" s="17">
        <f t="shared" si="4"/>
        <v>2443.0156381666661</v>
      </c>
      <c r="U75" s="17">
        <f t="shared" si="8"/>
        <v>29316.187657999995</v>
      </c>
      <c r="V75" s="17">
        <f t="shared" si="2"/>
        <v>54846.82265799999</v>
      </c>
      <c r="W75" s="57">
        <f t="shared" si="7"/>
        <v>69020.789683999988</v>
      </c>
      <c r="X75" s="78">
        <f>+T75*9</f>
        <v>21987.140743499996</v>
      </c>
      <c r="Y75" s="75">
        <f t="shared" si="9"/>
        <v>118431.33925649998</v>
      </c>
    </row>
    <row r="76" spans="1:25" s="127" customFormat="1" ht="15.75" thickBot="1" x14ac:dyDescent="0.3">
      <c r="A76" s="153">
        <v>73</v>
      </c>
      <c r="B76" s="22" t="s">
        <v>27</v>
      </c>
      <c r="C76" s="222" t="s">
        <v>789</v>
      </c>
      <c r="D76" s="7" t="s">
        <v>442</v>
      </c>
      <c r="E76" s="7"/>
      <c r="F76" s="17"/>
      <c r="G76" s="7">
        <v>9</v>
      </c>
      <c r="H76" s="17">
        <v>151222.82</v>
      </c>
      <c r="I76" s="7"/>
      <c r="J76" s="5"/>
      <c r="K76" s="15">
        <f>+F76+H76</f>
        <v>151222.82</v>
      </c>
      <c r="L76" s="7">
        <v>3</v>
      </c>
      <c r="M76" s="5">
        <v>0.125</v>
      </c>
      <c r="N76" s="80">
        <v>0</v>
      </c>
      <c r="O76" s="18">
        <v>0</v>
      </c>
      <c r="P76" s="15">
        <v>0</v>
      </c>
      <c r="Q76" s="17">
        <v>0</v>
      </c>
      <c r="R76" s="17"/>
      <c r="S76" s="17">
        <v>4725.7131250000002</v>
      </c>
      <c r="T76" s="17">
        <f>+U76/12</f>
        <v>1575.2377083333333</v>
      </c>
      <c r="U76" s="17">
        <f>+K76*M76</f>
        <v>18902.852500000001</v>
      </c>
      <c r="V76" s="17">
        <f>+Q76+U76</f>
        <v>18902.852500000001</v>
      </c>
      <c r="W76" s="57">
        <f t="shared" si="7"/>
        <v>127594.25437499999</v>
      </c>
      <c r="X76" s="182">
        <f>+T76*9</f>
        <v>14177.139375000001</v>
      </c>
      <c r="Y76" s="181"/>
    </row>
    <row r="77" spans="1:25" ht="16.5" thickTop="1" thickBot="1" x14ac:dyDescent="0.3">
      <c r="A77" s="298" t="s">
        <v>12</v>
      </c>
      <c r="B77" s="298"/>
      <c r="C77" s="298"/>
      <c r="D77" s="298"/>
      <c r="E77" s="298"/>
      <c r="F77" s="117">
        <f>SUM(F10:F75)</f>
        <v>17732346.719999999</v>
      </c>
      <c r="G77" s="117"/>
      <c r="H77" s="117">
        <f>SUM(H10:H76)</f>
        <v>151222.82</v>
      </c>
      <c r="I77" s="117">
        <f t="shared" ref="I77:Y77" si="10">SUM(I10:I75)</f>
        <v>0</v>
      </c>
      <c r="J77" s="117">
        <f t="shared" si="10"/>
        <v>0</v>
      </c>
      <c r="K77" s="124">
        <f>SUM(K10:K76)</f>
        <v>17883569.539999999</v>
      </c>
      <c r="L77" s="118"/>
      <c r="M77" s="118"/>
      <c r="N77" s="118"/>
      <c r="O77" s="118"/>
      <c r="P77" s="117">
        <f>SUM(P10:P75)</f>
        <v>9013228.9500000011</v>
      </c>
      <c r="Q77" s="117">
        <f t="shared" si="10"/>
        <v>8062844.6700000018</v>
      </c>
      <c r="R77" s="117">
        <f t="shared" si="10"/>
        <v>3541372.73</v>
      </c>
      <c r="S77" s="117">
        <f t="shared" ref="S77:X77" si="11">SUM(S10:S76)</f>
        <v>3545875.3531089993</v>
      </c>
      <c r="T77" s="117">
        <f t="shared" si="11"/>
        <v>296671.0410403334</v>
      </c>
      <c r="U77" s="124">
        <f t="shared" si="11"/>
        <v>3560052.4924839996</v>
      </c>
      <c r="V77" s="124">
        <f t="shared" si="11"/>
        <v>24177498.842484009</v>
      </c>
      <c r="W77" s="124">
        <f t="shared" si="11"/>
        <v>7236268.9644069979</v>
      </c>
      <c r="X77" s="117">
        <f t="shared" si="11"/>
        <v>2670039.3693630006</v>
      </c>
      <c r="Y77" s="117">
        <f t="shared" si="10"/>
        <v>1704149.3700119997</v>
      </c>
    </row>
    <row r="78" spans="1:25" ht="16.5" thickTop="1" thickBot="1" x14ac:dyDescent="0.3">
      <c r="A78" s="296" t="s">
        <v>349</v>
      </c>
      <c r="B78" s="297"/>
      <c r="C78" s="297"/>
      <c r="D78" s="297"/>
      <c r="E78" s="297"/>
      <c r="F78" s="121">
        <f>+F77</f>
        <v>17732346.719999999</v>
      </c>
      <c r="G78" s="121"/>
      <c r="H78" s="121">
        <v>0</v>
      </c>
      <c r="I78" s="121"/>
      <c r="J78" s="121"/>
      <c r="K78" s="121">
        <f>+K77</f>
        <v>17883569.539999999</v>
      </c>
      <c r="L78" s="119"/>
      <c r="M78" s="119"/>
      <c r="N78" s="119"/>
      <c r="O78" s="119"/>
      <c r="P78" s="121">
        <f>P77</f>
        <v>9013228.9500000011</v>
      </c>
      <c r="Q78" s="121">
        <f>Q77</f>
        <v>8062844.6700000018</v>
      </c>
      <c r="R78" s="121">
        <f>R77</f>
        <v>3541372.73</v>
      </c>
      <c r="S78" s="121"/>
      <c r="T78" s="121"/>
      <c r="U78" s="121"/>
      <c r="V78" s="121">
        <f>+P78+Q78+U77</f>
        <v>20636126.112484004</v>
      </c>
      <c r="W78" s="120">
        <f>+W77</f>
        <v>7236268.9644069979</v>
      </c>
    </row>
    <row r="79" spans="1:25" ht="16.5" thickTop="1" thickBot="1" x14ac:dyDescent="0.3">
      <c r="A79" s="293" t="s">
        <v>291</v>
      </c>
      <c r="B79" s="294"/>
      <c r="C79" s="294"/>
      <c r="D79" s="294"/>
      <c r="E79" s="295"/>
      <c r="F79" s="116">
        <f>+F77-F78</f>
        <v>0</v>
      </c>
      <c r="G79" s="122"/>
      <c r="H79" s="123">
        <f>+H77-H78</f>
        <v>151222.82</v>
      </c>
      <c r="I79" s="122"/>
      <c r="J79" s="122"/>
      <c r="K79" s="116">
        <f>+K77-K78</f>
        <v>0</v>
      </c>
      <c r="L79" s="288"/>
      <c r="M79" s="289"/>
      <c r="N79" s="289"/>
      <c r="O79" s="290"/>
      <c r="P79" s="116">
        <f>+P77-P78</f>
        <v>0</v>
      </c>
      <c r="Q79" s="116">
        <f>+Q77-Q78</f>
        <v>0</v>
      </c>
      <c r="R79" s="116">
        <f>+R77-R78</f>
        <v>0</v>
      </c>
      <c r="S79" s="116"/>
      <c r="T79" s="122"/>
      <c r="U79" s="122"/>
      <c r="V79" s="116">
        <f>+V77-V78</f>
        <v>3541372.7300000042</v>
      </c>
      <c r="W79" s="116">
        <f>+W77-W78</f>
        <v>0</v>
      </c>
      <c r="Y79" s="15"/>
    </row>
    <row r="80" spans="1:25" ht="15.75" thickTop="1" x14ac:dyDescent="0.25">
      <c r="Q80" s="15"/>
      <c r="R80" s="15"/>
      <c r="S80" s="15"/>
      <c r="W80" s="15"/>
    </row>
    <row r="81" spans="4:23" hidden="1" x14ac:dyDescent="0.25">
      <c r="K81" s="15"/>
      <c r="W81" s="15"/>
    </row>
    <row r="82" spans="4:23" hidden="1" x14ac:dyDescent="0.25">
      <c r="E82" s="125" t="s">
        <v>451</v>
      </c>
      <c r="W82" s="15"/>
    </row>
    <row r="83" spans="4:23" hidden="1" x14ac:dyDescent="0.25">
      <c r="D83" s="65" t="s">
        <v>339</v>
      </c>
      <c r="E83" s="15">
        <v>34959643.159999996</v>
      </c>
      <c r="W83" s="15"/>
    </row>
    <row r="84" spans="4:23" hidden="1" x14ac:dyDescent="0.25">
      <c r="D84" s="65" t="s">
        <v>462</v>
      </c>
      <c r="E84" s="15">
        <v>20617446.350000001</v>
      </c>
      <c r="W84" s="15"/>
    </row>
    <row r="85" spans="4:23" hidden="1" x14ac:dyDescent="0.25">
      <c r="D85" s="179" t="s">
        <v>457</v>
      </c>
      <c r="E85" s="15">
        <f>+U77</f>
        <v>3560052.4924839996</v>
      </c>
      <c r="W85" s="15"/>
    </row>
    <row r="86" spans="4:23" hidden="1" x14ac:dyDescent="0.25">
      <c r="D86" s="186" t="s">
        <v>454</v>
      </c>
      <c r="E86" s="143">
        <f>+E83-E84-E85-W77</f>
        <v>3545875.3531089975</v>
      </c>
      <c r="W86" s="15"/>
    </row>
    <row r="87" spans="4:23" hidden="1" x14ac:dyDescent="0.25">
      <c r="W87" s="15"/>
    </row>
    <row r="88" spans="4:23" hidden="1" x14ac:dyDescent="0.25">
      <c r="W88" s="15"/>
    </row>
    <row r="89" spans="4:23" x14ac:dyDescent="0.25">
      <c r="W89" s="15"/>
    </row>
    <row r="90" spans="4:23" x14ac:dyDescent="0.25">
      <c r="U90" s="15"/>
    </row>
  </sheetData>
  <mergeCells count="29">
    <mergeCell ref="A77:E77"/>
    <mergeCell ref="A78:E78"/>
    <mergeCell ref="A79:E79"/>
    <mergeCell ref="L79:O79"/>
    <mergeCell ref="V7:V8"/>
    <mergeCell ref="R7:R8"/>
    <mergeCell ref="C6:C8"/>
    <mergeCell ref="X6:X8"/>
    <mergeCell ref="Y6:Y8"/>
    <mergeCell ref="Q7:Q8"/>
    <mergeCell ref="T7:T8"/>
    <mergeCell ref="U7:U8"/>
    <mergeCell ref="W6:W8"/>
    <mergeCell ref="A3:W3"/>
    <mergeCell ref="A6:A8"/>
    <mergeCell ref="B6:B8"/>
    <mergeCell ref="D6:D8"/>
    <mergeCell ref="E6:E8"/>
    <mergeCell ref="F6:F8"/>
    <mergeCell ref="G6:H7"/>
    <mergeCell ref="I6:I8"/>
    <mergeCell ref="J6:J8"/>
    <mergeCell ref="A4:W4"/>
    <mergeCell ref="K6:K8"/>
    <mergeCell ref="L6:L8"/>
    <mergeCell ref="P6:V6"/>
    <mergeCell ref="P7:P8"/>
    <mergeCell ref="M6:O7"/>
    <mergeCell ref="S7:S8"/>
  </mergeCells>
  <phoneticPr fontId="16" type="noConversion"/>
  <pageMargins left="0.25" right="0.25" top="0.75" bottom="0.75" header="0.3" footer="0.3"/>
  <pageSetup paperSize="9" scale="52" fitToHeight="0" orientation="landscape" r:id="rId1"/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tabColor rgb="FF00B0F0"/>
    <pageSetUpPr fitToPage="1"/>
  </sheetPr>
  <dimension ref="A1:Z32"/>
  <sheetViews>
    <sheetView topLeftCell="C1" zoomScaleNormal="100" workbookViewId="0">
      <selection activeCell="R38" sqref="R38"/>
    </sheetView>
  </sheetViews>
  <sheetFormatPr defaultColWidth="9.140625" defaultRowHeight="15" x14ac:dyDescent="0.25"/>
  <cols>
    <col min="1" max="1" width="5.7109375" style="2" customWidth="1"/>
    <col min="2" max="3" width="7.28515625" style="2" customWidth="1"/>
    <col min="4" max="4" width="23.7109375" style="2" customWidth="1"/>
    <col min="5" max="5" width="27.5703125" style="2" bestFit="1" customWidth="1"/>
    <col min="6" max="6" width="15" style="2" customWidth="1"/>
    <col min="7" max="7" width="8.42578125" style="2" customWidth="1"/>
    <col min="8" max="8" width="10" style="2" customWidth="1"/>
    <col min="9" max="9" width="7.42578125" style="2" customWidth="1"/>
    <col min="10" max="10" width="11.7109375" style="2" customWidth="1"/>
    <col min="11" max="11" width="14.42578125" style="2" customWidth="1"/>
    <col min="12" max="12" width="15" style="2" customWidth="1"/>
    <col min="13" max="13" width="8.42578125" style="2" customWidth="1"/>
    <col min="14" max="14" width="8.140625" style="2" customWidth="1"/>
    <col min="15" max="15" width="15.5703125" style="2" customWidth="1"/>
    <col min="16" max="19" width="13.7109375" style="2" customWidth="1"/>
    <col min="20" max="20" width="10.140625" style="2" customWidth="1"/>
    <col min="21" max="21" width="13.5703125" style="2" customWidth="1"/>
    <col min="22" max="22" width="12.5703125" style="2" customWidth="1"/>
    <col min="23" max="23" width="16.7109375" style="2" hidden="1" customWidth="1"/>
    <col min="24" max="24" width="14.85546875" style="2" hidden="1" customWidth="1"/>
    <col min="25" max="25" width="13.5703125" style="2" bestFit="1" customWidth="1"/>
    <col min="26" max="26" width="10.85546875" style="2" bestFit="1" customWidth="1"/>
    <col min="27" max="16384" width="9.140625" style="2"/>
  </cols>
  <sheetData>
    <row r="1" spans="1:24" x14ac:dyDescent="0.25">
      <c r="A1" s="113" t="s">
        <v>359</v>
      </c>
    </row>
    <row r="3" spans="1:24" x14ac:dyDescent="0.25">
      <c r="A3" s="299" t="s">
        <v>864</v>
      </c>
      <c r="B3" s="299"/>
      <c r="C3" s="299"/>
      <c r="D3" s="299"/>
      <c r="E3" s="299"/>
      <c r="F3" s="299"/>
      <c r="G3" s="299"/>
      <c r="H3" s="299"/>
      <c r="I3" s="299"/>
      <c r="J3" s="299"/>
      <c r="K3" s="299"/>
      <c r="L3" s="299"/>
      <c r="M3" s="299"/>
      <c r="N3" s="299"/>
      <c r="O3" s="299"/>
      <c r="P3" s="299"/>
      <c r="Q3" s="299"/>
      <c r="R3" s="299"/>
      <c r="S3" s="299"/>
      <c r="T3" s="299"/>
      <c r="U3" s="299"/>
      <c r="V3" s="299"/>
    </row>
    <row r="4" spans="1:24" x14ac:dyDescent="0.25">
      <c r="A4" s="300" t="s">
        <v>208</v>
      </c>
      <c r="B4" s="300"/>
      <c r="C4" s="300"/>
      <c r="D4" s="300"/>
      <c r="E4" s="300"/>
      <c r="F4" s="300"/>
      <c r="G4" s="300"/>
      <c r="H4" s="300"/>
      <c r="I4" s="300"/>
      <c r="J4" s="300"/>
      <c r="K4" s="300"/>
      <c r="L4" s="300"/>
      <c r="M4" s="300"/>
      <c r="N4" s="300"/>
      <c r="O4" s="300"/>
      <c r="P4" s="300"/>
      <c r="Q4" s="300"/>
      <c r="R4" s="300"/>
      <c r="S4" s="300"/>
      <c r="T4" s="300"/>
      <c r="U4" s="300"/>
      <c r="V4" s="300"/>
    </row>
    <row r="5" spans="1:24" ht="15.75" thickBot="1" x14ac:dyDescent="0.3">
      <c r="A5" s="71"/>
    </row>
    <row r="6" spans="1:24" ht="16.5" customHeight="1" thickTop="1" thickBot="1" x14ac:dyDescent="0.3">
      <c r="A6" s="283" t="s">
        <v>0</v>
      </c>
      <c r="B6" s="283" t="s">
        <v>332</v>
      </c>
      <c r="C6" s="283" t="s">
        <v>524</v>
      </c>
      <c r="D6" s="283" t="s">
        <v>1</v>
      </c>
      <c r="E6" s="283" t="s">
        <v>7</v>
      </c>
      <c r="F6" s="283" t="s">
        <v>414</v>
      </c>
      <c r="G6" s="284" t="s">
        <v>523</v>
      </c>
      <c r="H6" s="284"/>
      <c r="I6" s="283" t="s">
        <v>18</v>
      </c>
      <c r="J6" s="283" t="s">
        <v>19</v>
      </c>
      <c r="K6" s="284" t="s">
        <v>408</v>
      </c>
      <c r="L6" s="283" t="s">
        <v>4</v>
      </c>
      <c r="M6" s="283" t="s">
        <v>5</v>
      </c>
      <c r="N6" s="283"/>
      <c r="O6" s="283" t="s">
        <v>8</v>
      </c>
      <c r="P6" s="283"/>
      <c r="Q6" s="283"/>
      <c r="R6" s="283"/>
      <c r="S6" s="283"/>
      <c r="T6" s="283"/>
      <c r="U6" s="283"/>
      <c r="V6" s="285" t="s">
        <v>868</v>
      </c>
      <c r="W6" s="285" t="s">
        <v>260</v>
      </c>
      <c r="X6" s="285" t="s">
        <v>261</v>
      </c>
    </row>
    <row r="7" spans="1:24" ht="25.5" customHeight="1" thickTop="1" thickBot="1" x14ac:dyDescent="0.3">
      <c r="A7" s="283"/>
      <c r="B7" s="283"/>
      <c r="C7" s="283"/>
      <c r="D7" s="283"/>
      <c r="E7" s="283"/>
      <c r="F7" s="283"/>
      <c r="G7" s="284"/>
      <c r="H7" s="284"/>
      <c r="I7" s="283"/>
      <c r="J7" s="283"/>
      <c r="K7" s="284"/>
      <c r="L7" s="283"/>
      <c r="M7" s="283"/>
      <c r="N7" s="283"/>
      <c r="O7" s="283" t="s">
        <v>6</v>
      </c>
      <c r="P7" s="291" t="s">
        <v>254</v>
      </c>
      <c r="Q7" s="291" t="s">
        <v>410</v>
      </c>
      <c r="R7" s="291" t="s">
        <v>865</v>
      </c>
      <c r="S7" s="285" t="s">
        <v>866</v>
      </c>
      <c r="T7" s="285" t="s">
        <v>867</v>
      </c>
      <c r="U7" s="283" t="s">
        <v>265</v>
      </c>
      <c r="V7" s="286"/>
      <c r="W7" s="286"/>
      <c r="X7" s="286"/>
    </row>
    <row r="8" spans="1:24" ht="33" customHeight="1" thickTop="1" thickBot="1" x14ac:dyDescent="0.3">
      <c r="A8" s="283"/>
      <c r="B8" s="283"/>
      <c r="C8" s="283"/>
      <c r="D8" s="283"/>
      <c r="E8" s="283"/>
      <c r="F8" s="283"/>
      <c r="G8" s="154" t="s">
        <v>2</v>
      </c>
      <c r="H8" s="154" t="s">
        <v>3</v>
      </c>
      <c r="I8" s="283"/>
      <c r="J8" s="283"/>
      <c r="K8" s="284"/>
      <c r="L8" s="283"/>
      <c r="M8" s="154" t="s">
        <v>256</v>
      </c>
      <c r="N8" s="154" t="s">
        <v>255</v>
      </c>
      <c r="O8" s="283"/>
      <c r="P8" s="292"/>
      <c r="Q8" s="292"/>
      <c r="R8" s="292"/>
      <c r="S8" s="287"/>
      <c r="T8" s="287"/>
      <c r="U8" s="283"/>
      <c r="V8" s="287"/>
      <c r="W8" s="287"/>
      <c r="X8" s="287"/>
    </row>
    <row r="9" spans="1:24" ht="16.5" thickTop="1" thickBot="1" x14ac:dyDescent="0.3">
      <c r="A9" s="74">
        <v>1</v>
      </c>
      <c r="B9" s="74">
        <v>2</v>
      </c>
      <c r="C9" s="74">
        <v>3</v>
      </c>
      <c r="D9" s="74">
        <v>4</v>
      </c>
      <c r="E9" s="74">
        <v>5</v>
      </c>
      <c r="F9" s="74">
        <v>6</v>
      </c>
      <c r="G9" s="74">
        <v>7</v>
      </c>
      <c r="H9" s="74">
        <v>8</v>
      </c>
      <c r="I9" s="74">
        <v>9</v>
      </c>
      <c r="J9" s="74">
        <v>10</v>
      </c>
      <c r="K9" s="74">
        <v>11</v>
      </c>
      <c r="L9" s="74">
        <v>12</v>
      </c>
      <c r="M9" s="74">
        <v>13</v>
      </c>
      <c r="N9" s="74">
        <v>14</v>
      </c>
      <c r="O9" s="74">
        <v>15</v>
      </c>
      <c r="P9" s="74">
        <v>16</v>
      </c>
      <c r="Q9" s="74">
        <v>17</v>
      </c>
      <c r="R9" s="74">
        <v>18</v>
      </c>
      <c r="S9" s="74">
        <v>19</v>
      </c>
      <c r="T9" s="74">
        <v>20</v>
      </c>
      <c r="U9" s="74">
        <v>21</v>
      </c>
      <c r="V9" s="74">
        <v>22</v>
      </c>
      <c r="W9" s="74">
        <v>20</v>
      </c>
      <c r="X9" s="74">
        <v>21</v>
      </c>
    </row>
    <row r="10" spans="1:24" ht="15.75" thickTop="1" x14ac:dyDescent="0.25">
      <c r="A10" s="153">
        <v>1</v>
      </c>
      <c r="B10" s="22" t="s">
        <v>93</v>
      </c>
      <c r="C10" s="222" t="s">
        <v>790</v>
      </c>
      <c r="D10" s="5" t="s">
        <v>209</v>
      </c>
      <c r="E10" s="7">
        <v>1</v>
      </c>
      <c r="F10" s="15">
        <v>0</v>
      </c>
      <c r="G10" s="7"/>
      <c r="H10" s="7"/>
      <c r="I10" s="7"/>
      <c r="J10" s="5"/>
      <c r="K10" s="15">
        <f>+F10+H10</f>
        <v>0</v>
      </c>
      <c r="L10" s="7">
        <v>12</v>
      </c>
      <c r="M10" s="80">
        <v>2.52E-2</v>
      </c>
      <c r="N10" s="18">
        <v>0.25</v>
      </c>
      <c r="O10" s="15">
        <v>343434.43</v>
      </c>
      <c r="P10" s="17">
        <v>0</v>
      </c>
      <c r="Q10" s="17"/>
      <c r="R10" s="17">
        <v>0</v>
      </c>
      <c r="S10" s="17"/>
      <c r="T10" s="17">
        <v>0</v>
      </c>
      <c r="U10" s="15">
        <f>+O10+P10+Q10+T10</f>
        <v>343434.43</v>
      </c>
      <c r="V10" s="58">
        <f>+K10-Q10-T10</f>
        <v>0</v>
      </c>
      <c r="W10" s="82"/>
      <c r="X10" s="75">
        <f>+K10-O10-P10-W10</f>
        <v>-343434.43</v>
      </c>
    </row>
    <row r="11" spans="1:24" x14ac:dyDescent="0.25">
      <c r="A11" s="153">
        <v>2</v>
      </c>
      <c r="B11" s="22" t="s">
        <v>93</v>
      </c>
      <c r="C11" s="222" t="s">
        <v>791</v>
      </c>
      <c r="D11" s="5" t="s">
        <v>210</v>
      </c>
      <c r="E11" s="7">
        <v>1</v>
      </c>
      <c r="F11" s="15">
        <v>0</v>
      </c>
      <c r="G11" s="7"/>
      <c r="H11" s="7"/>
      <c r="I11" s="7"/>
      <c r="J11" s="5"/>
      <c r="K11" s="15">
        <f t="shared" ref="K11" si="0">+F11+H11</f>
        <v>0</v>
      </c>
      <c r="L11" s="7">
        <v>12</v>
      </c>
      <c r="M11" s="80">
        <v>2.52E-2</v>
      </c>
      <c r="N11" s="18">
        <v>0.25</v>
      </c>
      <c r="O11" s="15">
        <v>130424.99</v>
      </c>
      <c r="P11" s="17">
        <v>43475</v>
      </c>
      <c r="Q11" s="17">
        <v>0</v>
      </c>
      <c r="R11" s="17">
        <v>0</v>
      </c>
      <c r="S11" s="17">
        <v>0</v>
      </c>
      <c r="T11" s="17">
        <v>0</v>
      </c>
      <c r="U11" s="15">
        <f t="shared" ref="U11" si="1">+O11+P11+Q11+T11</f>
        <v>173899.99</v>
      </c>
      <c r="V11" s="58">
        <f t="shared" ref="V11" si="2">+K11-Q11-T11</f>
        <v>0</v>
      </c>
      <c r="W11" s="82"/>
      <c r="X11" s="75">
        <f t="shared" ref="X11:X14" si="3">+K11-O11-P11-W11</f>
        <v>-173899.99</v>
      </c>
    </row>
    <row r="12" spans="1:24" x14ac:dyDescent="0.25">
      <c r="A12" s="153">
        <v>3</v>
      </c>
      <c r="B12" s="22" t="s">
        <v>93</v>
      </c>
      <c r="C12" s="222" t="s">
        <v>792</v>
      </c>
      <c r="D12" s="5" t="s">
        <v>211</v>
      </c>
      <c r="E12" s="7">
        <v>1</v>
      </c>
      <c r="F12" s="15">
        <v>0</v>
      </c>
      <c r="G12" s="7"/>
      <c r="H12" s="7"/>
      <c r="I12" s="7"/>
      <c r="J12" s="5"/>
      <c r="K12" s="15">
        <f t="shared" ref="K12:K19" si="4">+F12+H12</f>
        <v>0</v>
      </c>
      <c r="L12" s="7">
        <v>12</v>
      </c>
      <c r="M12" s="80">
        <v>2.52E-2</v>
      </c>
      <c r="N12" s="18">
        <v>0.25</v>
      </c>
      <c r="O12" s="15">
        <v>130424.99</v>
      </c>
      <c r="P12" s="17">
        <v>43475</v>
      </c>
      <c r="Q12" s="17">
        <v>0</v>
      </c>
      <c r="R12" s="17">
        <v>0</v>
      </c>
      <c r="S12" s="17">
        <v>0</v>
      </c>
      <c r="T12" s="17">
        <v>0</v>
      </c>
      <c r="U12" s="15">
        <f t="shared" ref="U12:U19" si="5">+O12+P12+Q12+T12</f>
        <v>173899.99</v>
      </c>
      <c r="V12" s="58">
        <f t="shared" ref="V12" si="6">+K12-Q12-T12</f>
        <v>0</v>
      </c>
      <c r="W12" s="82">
        <f>+S12*9</f>
        <v>0</v>
      </c>
      <c r="X12" s="75">
        <f t="shared" si="3"/>
        <v>-173899.99</v>
      </c>
    </row>
    <row r="13" spans="1:24" x14ac:dyDescent="0.25">
      <c r="A13" s="153">
        <v>4</v>
      </c>
      <c r="B13" s="22" t="s">
        <v>93</v>
      </c>
      <c r="C13" s="222" t="s">
        <v>793</v>
      </c>
      <c r="D13" s="5" t="s">
        <v>212</v>
      </c>
      <c r="E13" s="7">
        <v>1</v>
      </c>
      <c r="F13" s="15">
        <v>4004.489999999998</v>
      </c>
      <c r="G13" s="7"/>
      <c r="H13" s="7"/>
      <c r="I13" s="7"/>
      <c r="J13" s="5"/>
      <c r="K13" s="15">
        <f t="shared" si="4"/>
        <v>4004.489999999998</v>
      </c>
      <c r="L13" s="7">
        <v>12</v>
      </c>
      <c r="M13" s="80">
        <v>2.52E-2</v>
      </c>
      <c r="N13" s="18">
        <v>0.25</v>
      </c>
      <c r="O13" s="15">
        <v>68076.160000000003</v>
      </c>
      <c r="P13" s="17">
        <v>24026.85</v>
      </c>
      <c r="Q13" s="17">
        <v>4004.4599999999991</v>
      </c>
      <c r="R13" s="17">
        <v>100.91314799999995</v>
      </c>
      <c r="S13" s="17">
        <f>+T13/2.5</f>
        <v>0</v>
      </c>
      <c r="T13" s="17">
        <v>0</v>
      </c>
      <c r="U13" s="15">
        <f t="shared" si="5"/>
        <v>96107.47</v>
      </c>
      <c r="V13" s="58">
        <v>0</v>
      </c>
      <c r="W13" s="78">
        <f>T13</f>
        <v>0</v>
      </c>
      <c r="X13" s="75">
        <f t="shared" si="3"/>
        <v>-88098.52</v>
      </c>
    </row>
    <row r="14" spans="1:24" x14ac:dyDescent="0.25">
      <c r="A14" s="153">
        <v>5</v>
      </c>
      <c r="B14" s="22" t="s">
        <v>93</v>
      </c>
      <c r="C14" s="222" t="s">
        <v>794</v>
      </c>
      <c r="D14" s="7" t="s">
        <v>213</v>
      </c>
      <c r="E14" s="7">
        <v>1</v>
      </c>
      <c r="F14" s="15">
        <v>11257.120000000003</v>
      </c>
      <c r="G14" s="7"/>
      <c r="H14" s="7"/>
      <c r="I14" s="7"/>
      <c r="J14" s="5"/>
      <c r="K14" s="15">
        <f t="shared" si="4"/>
        <v>11257.120000000003</v>
      </c>
      <c r="L14" s="7">
        <v>12</v>
      </c>
      <c r="M14" s="80">
        <v>2.52E-2</v>
      </c>
      <c r="N14" s="18">
        <v>0.25</v>
      </c>
      <c r="O14" s="15">
        <v>90056.87</v>
      </c>
      <c r="P14" s="17">
        <v>33771.32</v>
      </c>
      <c r="Q14" s="17">
        <v>11257.122000000001</v>
      </c>
      <c r="R14" s="17">
        <v>283.67942400000004</v>
      </c>
      <c r="S14" s="17">
        <f>+T14/5</f>
        <v>0</v>
      </c>
      <c r="T14" s="17">
        <v>0</v>
      </c>
      <c r="U14" s="15">
        <f t="shared" si="5"/>
        <v>135085.31200000001</v>
      </c>
      <c r="V14" s="58">
        <v>0</v>
      </c>
      <c r="W14" s="78">
        <f>T14</f>
        <v>0</v>
      </c>
      <c r="X14" s="75">
        <f t="shared" si="3"/>
        <v>-112571.07</v>
      </c>
    </row>
    <row r="15" spans="1:24" x14ac:dyDescent="0.25">
      <c r="A15" s="153">
        <v>6</v>
      </c>
      <c r="B15" s="22" t="s">
        <v>93</v>
      </c>
      <c r="C15" s="222" t="s">
        <v>795</v>
      </c>
      <c r="D15" s="7" t="s">
        <v>214</v>
      </c>
      <c r="E15" s="7">
        <v>1</v>
      </c>
      <c r="F15" s="15">
        <v>37500</v>
      </c>
      <c r="G15" s="7"/>
      <c r="H15" s="7"/>
      <c r="I15" s="7"/>
      <c r="J15" s="5"/>
      <c r="K15" s="15">
        <f t="shared" si="4"/>
        <v>37500</v>
      </c>
      <c r="L15" s="7">
        <v>12</v>
      </c>
      <c r="M15" s="80">
        <v>2.52E-2</v>
      </c>
      <c r="N15" s="18">
        <v>0.25</v>
      </c>
      <c r="O15" s="15">
        <v>52500</v>
      </c>
      <c r="P15" s="17">
        <v>30000</v>
      </c>
      <c r="Q15" s="17">
        <v>24000</v>
      </c>
      <c r="R15" s="17">
        <v>945</v>
      </c>
      <c r="S15" s="17">
        <f t="shared" ref="S15:S17" si="7">+T15/12</f>
        <v>78.75</v>
      </c>
      <c r="T15" s="17">
        <f t="shared" ref="T15:T17" si="8">+K15*M15</f>
        <v>945</v>
      </c>
      <c r="U15" s="15">
        <f t="shared" si="5"/>
        <v>107445</v>
      </c>
      <c r="V15" s="58">
        <f t="shared" ref="V15:V18" si="9">+K15-Q15-R15-T15</f>
        <v>11610</v>
      </c>
      <c r="W15" s="78">
        <f>+S15*9</f>
        <v>708.75</v>
      </c>
      <c r="X15" s="75">
        <f>+K15-O15-P15-W15</f>
        <v>-45708.75</v>
      </c>
    </row>
    <row r="16" spans="1:24" x14ac:dyDescent="0.25">
      <c r="A16" s="153">
        <v>7</v>
      </c>
      <c r="B16" s="22" t="s">
        <v>93</v>
      </c>
      <c r="C16" s="222" t="s">
        <v>796</v>
      </c>
      <c r="D16" s="7" t="s">
        <v>214</v>
      </c>
      <c r="E16" s="7">
        <v>1</v>
      </c>
      <c r="F16" s="15">
        <v>52708.33</v>
      </c>
      <c r="G16" s="7"/>
      <c r="H16" s="7"/>
      <c r="I16" s="7"/>
      <c r="J16" s="5"/>
      <c r="K16" s="15">
        <f t="shared" si="4"/>
        <v>52708.33</v>
      </c>
      <c r="L16" s="7">
        <v>12</v>
      </c>
      <c r="M16" s="80">
        <v>2.52E-2</v>
      </c>
      <c r="N16" s="18">
        <v>0.25</v>
      </c>
      <c r="O16" s="17">
        <v>33541.67</v>
      </c>
      <c r="P16" s="17">
        <v>28750</v>
      </c>
      <c r="Q16" s="17">
        <v>23000</v>
      </c>
      <c r="R16" s="17">
        <v>1328.249916</v>
      </c>
      <c r="S16" s="17">
        <f t="shared" si="7"/>
        <v>110.687493</v>
      </c>
      <c r="T16" s="17">
        <f t="shared" si="8"/>
        <v>1328.249916</v>
      </c>
      <c r="U16" s="15">
        <f t="shared" si="5"/>
        <v>86619.919915999999</v>
      </c>
      <c r="V16" s="58">
        <f t="shared" si="9"/>
        <v>27051.830168</v>
      </c>
      <c r="W16" s="78">
        <f>+S16*9</f>
        <v>996.18743700000005</v>
      </c>
      <c r="X16" s="75">
        <f>+K16-O16-P16-W16</f>
        <v>-10579.527436999997</v>
      </c>
    </row>
    <row r="17" spans="1:26" x14ac:dyDescent="0.25">
      <c r="A17" s="153">
        <v>8</v>
      </c>
      <c r="B17" s="22" t="s">
        <v>93</v>
      </c>
      <c r="C17" s="222" t="s">
        <v>797</v>
      </c>
      <c r="D17" s="7" t="s">
        <v>214</v>
      </c>
      <c r="E17" s="7">
        <v>1</v>
      </c>
      <c r="F17" s="15">
        <v>54625</v>
      </c>
      <c r="G17" s="7"/>
      <c r="H17" s="7"/>
      <c r="I17" s="7"/>
      <c r="J17" s="5"/>
      <c r="K17" s="15">
        <f t="shared" si="4"/>
        <v>54625</v>
      </c>
      <c r="L17" s="7">
        <v>12</v>
      </c>
      <c r="M17" s="80">
        <v>2.52E-2</v>
      </c>
      <c r="N17" s="18">
        <v>0.25</v>
      </c>
      <c r="O17" s="17">
        <v>30875</v>
      </c>
      <c r="P17" s="17">
        <v>28500</v>
      </c>
      <c r="Q17" s="17">
        <v>22800</v>
      </c>
      <c r="R17" s="17">
        <v>1376.55</v>
      </c>
      <c r="S17" s="17">
        <f t="shared" si="7"/>
        <v>114.71249999999999</v>
      </c>
      <c r="T17" s="17">
        <f t="shared" si="8"/>
        <v>1376.55</v>
      </c>
      <c r="U17" s="15">
        <f t="shared" si="5"/>
        <v>83551.55</v>
      </c>
      <c r="V17" s="58">
        <f t="shared" si="9"/>
        <v>29071.9</v>
      </c>
      <c r="W17" s="78">
        <f>+S17*9</f>
        <v>1032.4124999999999</v>
      </c>
      <c r="X17" s="75">
        <f>+K17-O17-P17-W17</f>
        <v>-5782.4125000000004</v>
      </c>
    </row>
    <row r="18" spans="1:26" s="25" customFormat="1" x14ac:dyDescent="0.25">
      <c r="A18" s="153">
        <v>9</v>
      </c>
      <c r="B18" s="22" t="s">
        <v>93</v>
      </c>
      <c r="C18" s="222" t="s">
        <v>798</v>
      </c>
      <c r="D18" s="7" t="s">
        <v>281</v>
      </c>
      <c r="E18" s="7"/>
      <c r="F18" s="15">
        <v>104041.4</v>
      </c>
      <c r="G18" s="7"/>
      <c r="H18" s="7"/>
      <c r="I18" s="7"/>
      <c r="J18" s="5"/>
      <c r="K18" s="15">
        <f t="shared" si="4"/>
        <v>104041.4</v>
      </c>
      <c r="L18" s="7">
        <v>8</v>
      </c>
      <c r="M18" s="18">
        <v>0.2</v>
      </c>
      <c r="N18" s="18">
        <v>0</v>
      </c>
      <c r="O18" s="17">
        <v>0</v>
      </c>
      <c r="P18" s="17">
        <v>0</v>
      </c>
      <c r="Q18" s="17">
        <v>13872.186666666666</v>
      </c>
      <c r="R18" s="17">
        <v>20808.28</v>
      </c>
      <c r="S18" s="17">
        <f>+K18*M18/12</f>
        <v>1734.0233333333333</v>
      </c>
      <c r="T18" s="17">
        <f>+K18*M18</f>
        <v>20808.28</v>
      </c>
      <c r="U18" s="15">
        <f t="shared" si="5"/>
        <v>34680.466666666667</v>
      </c>
      <c r="V18" s="58">
        <f t="shared" si="9"/>
        <v>48552.653333333335</v>
      </c>
      <c r="W18" s="102">
        <f t="shared" ref="W18:W19" si="10">+S18*9</f>
        <v>15606.21</v>
      </c>
      <c r="X18" s="103">
        <f>+K18-O18-P18-W18</f>
        <v>88435.19</v>
      </c>
      <c r="Y18" s="68"/>
      <c r="Z18" s="68"/>
    </row>
    <row r="19" spans="1:26" ht="15.75" thickBot="1" x14ac:dyDescent="0.3">
      <c r="A19" s="56"/>
      <c r="B19" s="22"/>
      <c r="C19" s="22"/>
      <c r="D19" s="7"/>
      <c r="E19" s="7"/>
      <c r="F19" s="15">
        <v>0</v>
      </c>
      <c r="G19" s="7"/>
      <c r="H19" s="17"/>
      <c r="I19" s="7"/>
      <c r="J19" s="5"/>
      <c r="K19" s="15">
        <f t="shared" si="4"/>
        <v>0</v>
      </c>
      <c r="L19" s="7"/>
      <c r="M19" s="18"/>
      <c r="N19" s="19"/>
      <c r="O19" s="15"/>
      <c r="P19" s="17"/>
      <c r="Q19" s="17"/>
      <c r="R19" s="17"/>
      <c r="S19" s="17"/>
      <c r="T19" s="17"/>
      <c r="U19" s="15">
        <f t="shared" si="5"/>
        <v>0</v>
      </c>
      <c r="V19" s="57"/>
      <c r="W19" s="85">
        <f t="shared" si="10"/>
        <v>0</v>
      </c>
      <c r="X19" s="88">
        <f t="shared" ref="X19" si="11">+F19-O19-P19-W19</f>
        <v>0</v>
      </c>
    </row>
    <row r="20" spans="1:26" ht="16.5" thickTop="1" thickBot="1" x14ac:dyDescent="0.3">
      <c r="A20" s="298" t="s">
        <v>12</v>
      </c>
      <c r="B20" s="298"/>
      <c r="C20" s="298"/>
      <c r="D20" s="298"/>
      <c r="E20" s="298"/>
      <c r="F20" s="117">
        <f t="shared" ref="F20:K20" si="12">SUM(F10:F19)</f>
        <v>264136.33999999997</v>
      </c>
      <c r="G20" s="117">
        <f t="shared" si="12"/>
        <v>0</v>
      </c>
      <c r="H20" s="117">
        <f t="shared" si="12"/>
        <v>0</v>
      </c>
      <c r="I20" s="117">
        <f t="shared" si="12"/>
        <v>0</v>
      </c>
      <c r="J20" s="117">
        <f t="shared" si="12"/>
        <v>0</v>
      </c>
      <c r="K20" s="124">
        <f t="shared" si="12"/>
        <v>264136.33999999997</v>
      </c>
      <c r="L20" s="118"/>
      <c r="M20" s="118"/>
      <c r="N20" s="118"/>
      <c r="O20" s="117">
        <f t="shared" ref="O20:X20" si="13">SUM(O10:O19)</f>
        <v>879334.1100000001</v>
      </c>
      <c r="P20" s="117">
        <f t="shared" si="13"/>
        <v>231998.17</v>
      </c>
      <c r="Q20" s="117">
        <f>SUM(Q10:Q19)</f>
        <v>98933.768666666656</v>
      </c>
      <c r="R20" s="117">
        <f>SUM(R10:R19)</f>
        <v>24842.672488</v>
      </c>
      <c r="S20" s="117">
        <f t="shared" si="13"/>
        <v>2038.1733263333333</v>
      </c>
      <c r="T20" s="124">
        <f t="shared" si="13"/>
        <v>24458.079915999999</v>
      </c>
      <c r="U20" s="124">
        <f t="shared" si="13"/>
        <v>1234724.1285826666</v>
      </c>
      <c r="V20" s="124">
        <f t="shared" si="13"/>
        <v>116286.38350133334</v>
      </c>
      <c r="W20" s="117">
        <f t="shared" si="13"/>
        <v>18343.559936999998</v>
      </c>
      <c r="X20" s="117">
        <f t="shared" si="13"/>
        <v>-865539.49993699999</v>
      </c>
    </row>
    <row r="21" spans="1:26" ht="16.5" thickTop="1" thickBot="1" x14ac:dyDescent="0.3">
      <c r="A21" s="296" t="s">
        <v>341</v>
      </c>
      <c r="B21" s="297"/>
      <c r="C21" s="297"/>
      <c r="D21" s="297"/>
      <c r="E21" s="297"/>
      <c r="F21" s="121">
        <f>+F20</f>
        <v>264136.33999999997</v>
      </c>
      <c r="G21" s="121"/>
      <c r="H21" s="121">
        <f>+H20</f>
        <v>0</v>
      </c>
      <c r="I21" s="121"/>
      <c r="J21" s="121">
        <f>SUM(J20)</f>
        <v>0</v>
      </c>
      <c r="K21" s="121">
        <f>+K20</f>
        <v>264136.33999999997</v>
      </c>
      <c r="L21" s="119"/>
      <c r="M21" s="119"/>
      <c r="N21" s="119"/>
      <c r="O21" s="121">
        <f>O20</f>
        <v>879334.1100000001</v>
      </c>
      <c r="P21" s="121">
        <f>P20</f>
        <v>231998.17</v>
      </c>
      <c r="Q21" s="121"/>
      <c r="R21" s="121"/>
      <c r="S21" s="121"/>
      <c r="T21" s="121"/>
      <c r="U21" s="121">
        <f>+U20</f>
        <v>1234724.1285826666</v>
      </c>
      <c r="V21" s="120">
        <f>+V20</f>
        <v>116286.38350133334</v>
      </c>
    </row>
    <row r="22" spans="1:26" ht="16.5" thickTop="1" thickBot="1" x14ac:dyDescent="0.3">
      <c r="A22" s="293" t="s">
        <v>291</v>
      </c>
      <c r="B22" s="294"/>
      <c r="C22" s="294"/>
      <c r="D22" s="294"/>
      <c r="E22" s="295"/>
      <c r="F22" s="116">
        <f>+F20-F21</f>
        <v>0</v>
      </c>
      <c r="G22" s="122"/>
      <c r="H22" s="123">
        <f>+H20-H21</f>
        <v>0</v>
      </c>
      <c r="I22" s="122"/>
      <c r="J22" s="122"/>
      <c r="K22" s="116">
        <f>+K20-K21</f>
        <v>0</v>
      </c>
      <c r="L22" s="288"/>
      <c r="M22" s="289"/>
      <c r="N22" s="290"/>
      <c r="O22" s="116">
        <f>+O20-O21</f>
        <v>0</v>
      </c>
      <c r="P22" s="116">
        <f>+P20-P21</f>
        <v>0</v>
      </c>
      <c r="Q22" s="116"/>
      <c r="R22" s="116"/>
      <c r="S22" s="122"/>
      <c r="T22" s="122"/>
      <c r="U22" s="116">
        <f>+U20-U21</f>
        <v>0</v>
      </c>
      <c r="V22" s="116">
        <f>+V20-V21</f>
        <v>0</v>
      </c>
      <c r="X22" s="15"/>
    </row>
    <row r="23" spans="1:26" ht="15.75" thickTop="1" x14ac:dyDescent="0.25">
      <c r="P23" s="15"/>
      <c r="Q23" s="15"/>
      <c r="R23" s="15"/>
      <c r="V23" s="15"/>
      <c r="X23" s="15"/>
    </row>
    <row r="24" spans="1:26" x14ac:dyDescent="0.25">
      <c r="P24" s="15"/>
      <c r="Q24" s="15"/>
      <c r="R24" s="15"/>
      <c r="U24" s="15"/>
      <c r="V24" s="15"/>
    </row>
    <row r="25" spans="1:26" hidden="1" x14ac:dyDescent="0.25">
      <c r="V25" s="15"/>
    </row>
    <row r="26" spans="1:26" ht="33.75" hidden="1" customHeight="1" x14ac:dyDescent="0.25">
      <c r="E26" s="125" t="s">
        <v>451</v>
      </c>
      <c r="O26" s="15"/>
      <c r="Q26" s="15"/>
      <c r="R26" s="15"/>
    </row>
    <row r="27" spans="1:26" hidden="1" x14ac:dyDescent="0.25">
      <c r="D27" s="65" t="s">
        <v>339</v>
      </c>
      <c r="E27" s="15">
        <v>1344568.63</v>
      </c>
      <c r="O27" s="15"/>
      <c r="P27" s="15"/>
      <c r="Q27" s="15"/>
      <c r="R27" s="15"/>
    </row>
    <row r="28" spans="1:26" hidden="1" x14ac:dyDescent="0.25">
      <c r="D28" s="65" t="s">
        <v>462</v>
      </c>
      <c r="E28" s="15">
        <v>1179366.06</v>
      </c>
      <c r="O28" s="15"/>
      <c r="P28" s="15"/>
      <c r="Q28" s="15"/>
      <c r="R28" s="15"/>
    </row>
    <row r="29" spans="1:26" hidden="1" x14ac:dyDescent="0.25">
      <c r="D29" s="179" t="s">
        <v>457</v>
      </c>
      <c r="E29" s="15">
        <f>+T20</f>
        <v>24458.079915999999</v>
      </c>
      <c r="O29" s="148"/>
      <c r="P29" s="148"/>
      <c r="Q29" s="148"/>
      <c r="R29" s="148"/>
    </row>
    <row r="30" spans="1:26" hidden="1" x14ac:dyDescent="0.25">
      <c r="D30" s="186" t="s">
        <v>454</v>
      </c>
      <c r="E30" s="143">
        <f>+E27-E28-E29-V20</f>
        <v>24458.1065826665</v>
      </c>
    </row>
    <row r="31" spans="1:26" hidden="1" x14ac:dyDescent="0.25"/>
    <row r="32" spans="1:26" x14ac:dyDescent="0.25">
      <c r="R32" s="15"/>
    </row>
  </sheetData>
  <mergeCells count="29">
    <mergeCell ref="A20:E20"/>
    <mergeCell ref="A21:E21"/>
    <mergeCell ref="A22:E22"/>
    <mergeCell ref="L22:N22"/>
    <mergeCell ref="J6:J8"/>
    <mergeCell ref="K6:K8"/>
    <mergeCell ref="L6:L8"/>
    <mergeCell ref="M6:N7"/>
    <mergeCell ref="C6:C8"/>
    <mergeCell ref="A3:V3"/>
    <mergeCell ref="A4:V4"/>
    <mergeCell ref="A6:A8"/>
    <mergeCell ref="B6:B8"/>
    <mergeCell ref="D6:D8"/>
    <mergeCell ref="E6:E8"/>
    <mergeCell ref="F6:F8"/>
    <mergeCell ref="G6:H7"/>
    <mergeCell ref="I6:I8"/>
    <mergeCell ref="V6:V8"/>
    <mergeCell ref="Q7:Q8"/>
    <mergeCell ref="W6:W8"/>
    <mergeCell ref="X6:X8"/>
    <mergeCell ref="P7:P8"/>
    <mergeCell ref="S7:S8"/>
    <mergeCell ref="T7:T8"/>
    <mergeCell ref="O6:U6"/>
    <mergeCell ref="O7:O8"/>
    <mergeCell ref="U7:U8"/>
    <mergeCell ref="R7:R8"/>
  </mergeCells>
  <pageMargins left="0.25" right="0.25" top="0.75" bottom="0.75" header="0.3" footer="0.3"/>
  <pageSetup paperSize="9" scale="55" fitToHeight="0" orientation="landscape" r:id="rId1"/>
  <legacy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3415D3-9052-4CF7-89AE-F49BA22000C0}">
  <sheetPr>
    <tabColor rgb="FFFF0000"/>
    <pageSetUpPr fitToPage="1"/>
  </sheetPr>
  <dimension ref="A1:X72"/>
  <sheetViews>
    <sheetView topLeftCell="D33" zoomScaleNormal="100" workbookViewId="0">
      <selection activeCell="I52" sqref="I52"/>
    </sheetView>
  </sheetViews>
  <sheetFormatPr defaultColWidth="9.140625" defaultRowHeight="15" x14ac:dyDescent="0.25"/>
  <cols>
    <col min="1" max="1" width="13.7109375" style="2" customWidth="1"/>
    <col min="2" max="2" width="26.7109375" style="164" customWidth="1"/>
    <col min="3" max="3" width="26.7109375" style="219" customWidth="1"/>
    <col min="4" max="4" width="31.7109375" style="173" bestFit="1" customWidth="1"/>
    <col min="5" max="5" width="9.140625" style="2" customWidth="1"/>
    <col min="6" max="6" width="28.85546875" style="2" customWidth="1"/>
    <col min="7" max="7" width="9.140625" style="2" customWidth="1"/>
    <col min="8" max="8" width="13.7109375" style="2" customWidth="1"/>
    <col min="9" max="9" width="13.85546875" style="2" bestFit="1" customWidth="1"/>
    <col min="10" max="10" width="9.140625" style="2"/>
    <col min="11" max="11" width="16.7109375" style="2" customWidth="1"/>
    <col min="12" max="12" width="15.85546875" style="2" customWidth="1"/>
    <col min="13" max="13" width="12.7109375" style="2" bestFit="1" customWidth="1"/>
    <col min="14" max="18" width="9.140625" style="2"/>
    <col min="19" max="19" width="9.85546875" style="2" bestFit="1" customWidth="1"/>
    <col min="20" max="20" width="15.7109375" style="2" bestFit="1" customWidth="1"/>
    <col min="21" max="21" width="11.85546875" style="2" hidden="1" customWidth="1"/>
    <col min="22" max="22" width="15.28515625" style="2" hidden="1" customWidth="1"/>
    <col min="23" max="23" width="9.140625" style="2"/>
    <col min="24" max="24" width="13.85546875" style="15" hidden="1" customWidth="1"/>
    <col min="25" max="16384" width="9.140625" style="2"/>
  </cols>
  <sheetData>
    <row r="1" spans="1:24" x14ac:dyDescent="0.25">
      <c r="A1" s="125" t="s">
        <v>359</v>
      </c>
    </row>
    <row r="3" spans="1:24" x14ac:dyDescent="0.25">
      <c r="A3" s="299" t="s">
        <v>402</v>
      </c>
      <c r="B3" s="299"/>
      <c r="C3" s="299"/>
      <c r="D3" s="299"/>
      <c r="E3" s="299"/>
      <c r="F3" s="299"/>
      <c r="G3" s="299"/>
      <c r="H3" s="299"/>
      <c r="I3" s="299"/>
      <c r="J3" s="299"/>
      <c r="K3" s="299"/>
      <c r="L3" s="299"/>
      <c r="M3" s="299"/>
      <c r="N3" s="299"/>
      <c r="O3" s="299"/>
      <c r="P3" s="299"/>
      <c r="Q3" s="299"/>
      <c r="R3" s="299"/>
      <c r="S3" s="299"/>
      <c r="T3" s="299"/>
    </row>
    <row r="4" spans="1:24" x14ac:dyDescent="0.25">
      <c r="A4" s="300" t="s">
        <v>404</v>
      </c>
      <c r="B4" s="300"/>
      <c r="C4" s="300"/>
      <c r="D4" s="300"/>
      <c r="E4" s="300"/>
      <c r="F4" s="300"/>
      <c r="G4" s="300"/>
      <c r="H4" s="300"/>
      <c r="I4" s="300"/>
      <c r="J4" s="300"/>
      <c r="K4" s="300"/>
      <c r="L4" s="300"/>
      <c r="M4" s="300"/>
      <c r="N4" s="300"/>
      <c r="O4" s="300"/>
      <c r="P4" s="300"/>
      <c r="Q4" s="300"/>
      <c r="R4" s="300"/>
      <c r="S4" s="300"/>
      <c r="T4" s="300"/>
    </row>
    <row r="5" spans="1:24" ht="15.75" thickBot="1" x14ac:dyDescent="0.3">
      <c r="A5" s="71" t="s">
        <v>10</v>
      </c>
    </row>
    <row r="6" spans="1:24" ht="16.5" customHeight="1" thickTop="1" thickBot="1" x14ac:dyDescent="0.3">
      <c r="A6" s="283" t="s">
        <v>0</v>
      </c>
      <c r="B6" s="283" t="s">
        <v>332</v>
      </c>
      <c r="C6" s="283" t="s">
        <v>524</v>
      </c>
      <c r="D6" s="316" t="s">
        <v>1</v>
      </c>
      <c r="E6" s="283" t="s">
        <v>7</v>
      </c>
      <c r="F6" s="283" t="s">
        <v>262</v>
      </c>
      <c r="G6" s="284" t="s">
        <v>873</v>
      </c>
      <c r="H6" s="284"/>
      <c r="I6" s="283" t="s">
        <v>18</v>
      </c>
      <c r="J6" s="283" t="s">
        <v>19</v>
      </c>
      <c r="K6" s="284" t="s">
        <v>874</v>
      </c>
      <c r="L6" s="283" t="s">
        <v>426</v>
      </c>
      <c r="M6" s="283" t="s">
        <v>5</v>
      </c>
      <c r="N6" s="283"/>
      <c r="O6" s="301" t="s">
        <v>422</v>
      </c>
      <c r="P6" s="302"/>
      <c r="Q6" s="302"/>
      <c r="R6" s="302"/>
      <c r="S6" s="303"/>
      <c r="T6" s="285" t="s">
        <v>875</v>
      </c>
      <c r="U6" s="283" t="s">
        <v>260</v>
      </c>
      <c r="V6" s="283" t="s">
        <v>261</v>
      </c>
    </row>
    <row r="7" spans="1:24" ht="25.5" customHeight="1" thickTop="1" thickBot="1" x14ac:dyDescent="0.3">
      <c r="A7" s="283"/>
      <c r="B7" s="283"/>
      <c r="C7" s="283"/>
      <c r="D7" s="316"/>
      <c r="E7" s="283"/>
      <c r="F7" s="283"/>
      <c r="G7" s="284"/>
      <c r="H7" s="284"/>
      <c r="I7" s="283"/>
      <c r="J7" s="283"/>
      <c r="K7" s="284"/>
      <c r="L7" s="283"/>
      <c r="M7" s="283"/>
      <c r="N7" s="283"/>
      <c r="O7" s="317"/>
      <c r="P7" s="318"/>
      <c r="Q7" s="318"/>
      <c r="R7" s="318"/>
      <c r="S7" s="319"/>
      <c r="T7" s="286"/>
      <c r="U7" s="283"/>
      <c r="V7" s="283"/>
    </row>
    <row r="8" spans="1:24" ht="43.15" customHeight="1" thickTop="1" thickBot="1" x14ac:dyDescent="0.3">
      <c r="A8" s="283"/>
      <c r="B8" s="283"/>
      <c r="C8" s="283"/>
      <c r="D8" s="316"/>
      <c r="E8" s="283"/>
      <c r="F8" s="283"/>
      <c r="G8" s="115" t="s">
        <v>2</v>
      </c>
      <c r="H8" s="115" t="s">
        <v>3</v>
      </c>
      <c r="I8" s="283"/>
      <c r="J8" s="283"/>
      <c r="K8" s="284"/>
      <c r="L8" s="283"/>
      <c r="M8" s="115" t="s">
        <v>256</v>
      </c>
      <c r="N8" s="115" t="s">
        <v>255</v>
      </c>
      <c r="O8" s="304"/>
      <c r="P8" s="305"/>
      <c r="Q8" s="305"/>
      <c r="R8" s="305"/>
      <c r="S8" s="306"/>
      <c r="T8" s="287"/>
      <c r="U8" s="283"/>
      <c r="V8" s="283"/>
    </row>
    <row r="9" spans="1:24" ht="16.5" thickTop="1" thickBot="1" x14ac:dyDescent="0.3">
      <c r="A9" s="74">
        <v>1</v>
      </c>
      <c r="B9" s="74">
        <v>2</v>
      </c>
      <c r="C9" s="74">
        <v>3</v>
      </c>
      <c r="D9" s="74">
        <v>4</v>
      </c>
      <c r="E9" s="74">
        <v>5</v>
      </c>
      <c r="F9" s="74">
        <v>6</v>
      </c>
      <c r="G9" s="74">
        <v>7</v>
      </c>
      <c r="H9" s="74">
        <v>8</v>
      </c>
      <c r="I9" s="74">
        <v>9</v>
      </c>
      <c r="J9" s="74">
        <v>10</v>
      </c>
      <c r="K9" s="74">
        <v>11</v>
      </c>
      <c r="L9" s="74">
        <v>12</v>
      </c>
      <c r="M9" s="74">
        <v>13</v>
      </c>
      <c r="N9" s="74">
        <v>14</v>
      </c>
      <c r="O9" s="338">
        <v>15</v>
      </c>
      <c r="P9" s="339"/>
      <c r="Q9" s="339"/>
      <c r="R9" s="339"/>
      <c r="S9" s="340"/>
      <c r="T9" s="74">
        <v>16</v>
      </c>
      <c r="U9" s="74">
        <v>20</v>
      </c>
      <c r="V9" s="74">
        <v>21</v>
      </c>
    </row>
    <row r="10" spans="1:24" ht="15.75" thickTop="1" x14ac:dyDescent="0.25">
      <c r="A10" s="227">
        <v>1</v>
      </c>
      <c r="B10" s="223" t="s">
        <v>362</v>
      </c>
      <c r="C10" s="223" t="s">
        <v>799</v>
      </c>
      <c r="D10" s="228" t="s">
        <v>226</v>
      </c>
      <c r="E10" s="149"/>
      <c r="F10" s="129">
        <v>3179113.09</v>
      </c>
      <c r="G10" s="149"/>
      <c r="H10" s="149"/>
      <c r="I10" s="149"/>
      <c r="J10" s="229"/>
      <c r="K10" s="129">
        <v>3179113.09</v>
      </c>
      <c r="L10" s="149" t="s">
        <v>430</v>
      </c>
      <c r="M10" s="150"/>
      <c r="N10" s="151"/>
      <c r="O10" s="326">
        <f t="shared" ref="O10:O16" si="0">+K10</f>
        <v>3179113.09</v>
      </c>
      <c r="P10" s="327"/>
      <c r="Q10" s="327"/>
      <c r="R10" s="327"/>
      <c r="S10" s="328"/>
      <c r="T10" s="152">
        <f>+K10-O10</f>
        <v>0</v>
      </c>
      <c r="U10" s="81"/>
      <c r="V10" s="84"/>
      <c r="X10" s="15">
        <v>3179113.09</v>
      </c>
    </row>
    <row r="11" spans="1:24" x14ac:dyDescent="0.25">
      <c r="A11" s="227">
        <v>2</v>
      </c>
      <c r="B11" s="223" t="s">
        <v>363</v>
      </c>
      <c r="C11" s="223" t="s">
        <v>800</v>
      </c>
      <c r="D11" s="230" t="s">
        <v>227</v>
      </c>
      <c r="E11" s="149"/>
      <c r="F11" s="129">
        <v>10396696</v>
      </c>
      <c r="G11" s="149"/>
      <c r="H11" s="26">
        <v>1051487.26</v>
      </c>
      <c r="I11" s="149"/>
      <c r="J11" s="229"/>
      <c r="K11" s="129">
        <v>11448183.26</v>
      </c>
      <c r="L11" s="149" t="s">
        <v>431</v>
      </c>
      <c r="M11" s="150"/>
      <c r="N11" s="151"/>
      <c r="O11" s="320">
        <f t="shared" si="0"/>
        <v>11448183.26</v>
      </c>
      <c r="P11" s="321"/>
      <c r="Q11" s="321"/>
      <c r="R11" s="321"/>
      <c r="S11" s="322"/>
      <c r="T11" s="152">
        <f>+K11-O11</f>
        <v>0</v>
      </c>
      <c r="U11" s="82"/>
      <c r="V11" s="75">
        <f>+T11</f>
        <v>0</v>
      </c>
      <c r="X11" s="15">
        <v>11448183.26</v>
      </c>
    </row>
    <row r="12" spans="1:24" x14ac:dyDescent="0.25">
      <c r="A12" s="227">
        <v>3</v>
      </c>
      <c r="B12" s="223" t="s">
        <v>364</v>
      </c>
      <c r="C12" s="223" t="s">
        <v>801</v>
      </c>
      <c r="D12" s="230" t="s">
        <v>228</v>
      </c>
      <c r="E12" s="149"/>
      <c r="F12" s="129">
        <v>18061907.940000001</v>
      </c>
      <c r="G12" s="149"/>
      <c r="H12" s="26">
        <v>1579218.54</v>
      </c>
      <c r="I12" s="149"/>
      <c r="J12" s="229"/>
      <c r="K12" s="129">
        <v>19641126.48</v>
      </c>
      <c r="L12" s="149" t="s">
        <v>432</v>
      </c>
      <c r="M12" s="150"/>
      <c r="N12" s="151"/>
      <c r="O12" s="320">
        <f t="shared" si="0"/>
        <v>19641126.48</v>
      </c>
      <c r="P12" s="321"/>
      <c r="Q12" s="321"/>
      <c r="R12" s="321"/>
      <c r="S12" s="322"/>
      <c r="T12" s="152">
        <f t="shared" ref="T12:T38" si="1">+K12-O12</f>
        <v>0</v>
      </c>
      <c r="U12" s="82"/>
      <c r="V12" s="75">
        <f t="shared" ref="V12:V55" si="2">+T12</f>
        <v>0</v>
      </c>
      <c r="X12" s="15">
        <v>19641126.48</v>
      </c>
    </row>
    <row r="13" spans="1:24" x14ac:dyDescent="0.25">
      <c r="A13" s="227">
        <v>4</v>
      </c>
      <c r="B13" s="223" t="s">
        <v>360</v>
      </c>
      <c r="C13" s="223" t="s">
        <v>802</v>
      </c>
      <c r="D13" s="230" t="s">
        <v>365</v>
      </c>
      <c r="E13" s="149"/>
      <c r="F13" s="129">
        <v>5819800.2000000002</v>
      </c>
      <c r="G13" s="149"/>
      <c r="H13" s="129"/>
      <c r="I13" s="149"/>
      <c r="J13" s="229"/>
      <c r="K13" s="129">
        <v>5819800.2000000002</v>
      </c>
      <c r="L13" s="149" t="s">
        <v>433</v>
      </c>
      <c r="M13" s="150"/>
      <c r="N13" s="151"/>
      <c r="O13" s="320">
        <f t="shared" si="0"/>
        <v>5819800.2000000002</v>
      </c>
      <c r="P13" s="321"/>
      <c r="Q13" s="321"/>
      <c r="R13" s="321"/>
      <c r="S13" s="322"/>
      <c r="T13" s="152">
        <f t="shared" si="1"/>
        <v>0</v>
      </c>
      <c r="U13" s="82"/>
      <c r="V13" s="75">
        <f t="shared" si="2"/>
        <v>0</v>
      </c>
      <c r="X13" s="15">
        <v>5819800.2000000002</v>
      </c>
    </row>
    <row r="14" spans="1:24" x14ac:dyDescent="0.25">
      <c r="A14" s="227">
        <v>5</v>
      </c>
      <c r="B14" s="223" t="s">
        <v>361</v>
      </c>
      <c r="C14" s="223" t="s">
        <v>803</v>
      </c>
      <c r="D14" s="230" t="s">
        <v>229</v>
      </c>
      <c r="E14" s="149"/>
      <c r="F14" s="129">
        <v>764327.75</v>
      </c>
      <c r="G14" s="149"/>
      <c r="H14" s="149"/>
      <c r="I14" s="149"/>
      <c r="J14" s="229"/>
      <c r="K14" s="129">
        <v>764327.75</v>
      </c>
      <c r="L14" s="149" t="s">
        <v>432</v>
      </c>
      <c r="M14" s="150"/>
      <c r="N14" s="151"/>
      <c r="O14" s="320">
        <f t="shared" si="0"/>
        <v>764327.75</v>
      </c>
      <c r="P14" s="321"/>
      <c r="Q14" s="321"/>
      <c r="R14" s="321"/>
      <c r="S14" s="322"/>
      <c r="T14" s="152">
        <f t="shared" si="1"/>
        <v>0</v>
      </c>
      <c r="U14" s="82"/>
      <c r="V14" s="75">
        <f t="shared" si="2"/>
        <v>0</v>
      </c>
      <c r="X14" s="15">
        <v>764327.75</v>
      </c>
    </row>
    <row r="15" spans="1:24" x14ac:dyDescent="0.25">
      <c r="A15" s="227">
        <v>6</v>
      </c>
      <c r="B15" s="223" t="s">
        <v>367</v>
      </c>
      <c r="C15" s="223" t="s">
        <v>804</v>
      </c>
      <c r="D15" s="230" t="s">
        <v>230</v>
      </c>
      <c r="E15" s="149"/>
      <c r="F15" s="129">
        <v>21000</v>
      </c>
      <c r="G15" s="149"/>
      <c r="H15" s="149"/>
      <c r="I15" s="149"/>
      <c r="J15" s="229"/>
      <c r="K15" s="129">
        <v>21000</v>
      </c>
      <c r="L15" s="149" t="s">
        <v>430</v>
      </c>
      <c r="M15" s="150"/>
      <c r="N15" s="151"/>
      <c r="O15" s="320">
        <f t="shared" si="0"/>
        <v>21000</v>
      </c>
      <c r="P15" s="321"/>
      <c r="Q15" s="321"/>
      <c r="R15" s="321"/>
      <c r="S15" s="322"/>
      <c r="T15" s="152">
        <f t="shared" si="1"/>
        <v>0</v>
      </c>
      <c r="U15" s="82"/>
      <c r="V15" s="75">
        <f t="shared" si="2"/>
        <v>0</v>
      </c>
      <c r="X15" s="15">
        <v>21000</v>
      </c>
    </row>
    <row r="16" spans="1:24" ht="30" x14ac:dyDescent="0.25">
      <c r="A16" s="227">
        <v>7</v>
      </c>
      <c r="B16" s="223" t="s">
        <v>368</v>
      </c>
      <c r="C16" s="223" t="s">
        <v>805</v>
      </c>
      <c r="D16" s="231" t="s">
        <v>418</v>
      </c>
      <c r="E16" s="149"/>
      <c r="F16" s="129">
        <v>112355</v>
      </c>
      <c r="G16" s="149"/>
      <c r="H16" s="149"/>
      <c r="I16" s="149"/>
      <c r="J16" s="229"/>
      <c r="K16" s="129">
        <v>112355</v>
      </c>
      <c r="L16" s="149" t="s">
        <v>430</v>
      </c>
      <c r="M16" s="150"/>
      <c r="N16" s="151"/>
      <c r="O16" s="320">
        <f t="shared" si="0"/>
        <v>112355</v>
      </c>
      <c r="P16" s="321"/>
      <c r="Q16" s="321"/>
      <c r="R16" s="321"/>
      <c r="S16" s="322"/>
      <c r="T16" s="152">
        <f t="shared" si="1"/>
        <v>0</v>
      </c>
      <c r="U16" s="82"/>
      <c r="V16" s="75">
        <f t="shared" si="2"/>
        <v>0</v>
      </c>
      <c r="X16" s="15">
        <v>112355</v>
      </c>
    </row>
    <row r="17" spans="1:24" x14ac:dyDescent="0.25">
      <c r="A17" s="227">
        <v>8</v>
      </c>
      <c r="B17" s="232" t="s">
        <v>369</v>
      </c>
      <c r="C17" s="233"/>
      <c r="D17" s="230" t="s">
        <v>247</v>
      </c>
      <c r="E17" s="149"/>
      <c r="F17" s="129">
        <v>2210748</v>
      </c>
      <c r="G17" s="149"/>
      <c r="H17" s="26">
        <v>-2016036</v>
      </c>
      <c r="I17" s="149"/>
      <c r="J17" s="229"/>
      <c r="K17" s="129">
        <v>194712</v>
      </c>
      <c r="L17" s="149"/>
      <c r="M17" s="150"/>
      <c r="N17" s="151"/>
      <c r="O17" s="320">
        <v>0</v>
      </c>
      <c r="P17" s="321"/>
      <c r="Q17" s="321"/>
      <c r="R17" s="321"/>
      <c r="S17" s="322"/>
      <c r="T17" s="152">
        <f t="shared" si="1"/>
        <v>194712</v>
      </c>
      <c r="U17" s="82"/>
      <c r="V17" s="75">
        <f t="shared" si="2"/>
        <v>194712</v>
      </c>
      <c r="X17" s="15">
        <v>0</v>
      </c>
    </row>
    <row r="18" spans="1:24" x14ac:dyDescent="0.25">
      <c r="A18" s="227">
        <v>9</v>
      </c>
      <c r="B18" s="223" t="s">
        <v>370</v>
      </c>
      <c r="C18" s="223"/>
      <c r="D18" s="230" t="s">
        <v>248</v>
      </c>
      <c r="E18" s="149"/>
      <c r="F18" s="129">
        <v>150273.47</v>
      </c>
      <c r="G18" s="149"/>
      <c r="H18" s="149"/>
      <c r="I18" s="149"/>
      <c r="J18" s="229"/>
      <c r="K18" s="129">
        <v>150273.47</v>
      </c>
      <c r="L18" s="149"/>
      <c r="M18" s="150"/>
      <c r="N18" s="151"/>
      <c r="O18" s="320">
        <v>0</v>
      </c>
      <c r="P18" s="321"/>
      <c r="Q18" s="321"/>
      <c r="R18" s="321"/>
      <c r="S18" s="322"/>
      <c r="T18" s="152">
        <f t="shared" si="1"/>
        <v>150273.47</v>
      </c>
      <c r="U18" s="82"/>
      <c r="V18" s="75">
        <f t="shared" si="2"/>
        <v>150273.47</v>
      </c>
      <c r="X18" s="15">
        <v>0</v>
      </c>
    </row>
    <row r="19" spans="1:24" x14ac:dyDescent="0.25">
      <c r="A19" s="227">
        <v>10</v>
      </c>
      <c r="B19" s="223" t="s">
        <v>371</v>
      </c>
      <c r="C19" s="223" t="s">
        <v>405</v>
      </c>
      <c r="D19" s="230" t="s">
        <v>817</v>
      </c>
      <c r="E19" s="149"/>
      <c r="F19" s="129">
        <v>27114869.859999999</v>
      </c>
      <c r="G19" s="149"/>
      <c r="H19" s="26">
        <v>-27114869.859999999</v>
      </c>
      <c r="I19" s="149"/>
      <c r="J19" s="229"/>
      <c r="K19" s="129">
        <v>0</v>
      </c>
      <c r="L19" s="149"/>
      <c r="M19" s="150"/>
      <c r="N19" s="151"/>
      <c r="O19" s="320">
        <v>0</v>
      </c>
      <c r="P19" s="321"/>
      <c r="Q19" s="321"/>
      <c r="R19" s="321"/>
      <c r="S19" s="322"/>
      <c r="T19" s="152">
        <f t="shared" si="1"/>
        <v>0</v>
      </c>
      <c r="U19" s="82"/>
      <c r="V19" s="75">
        <f t="shared" si="2"/>
        <v>0</v>
      </c>
      <c r="X19" s="15">
        <v>0</v>
      </c>
    </row>
    <row r="20" spans="1:24" x14ac:dyDescent="0.25">
      <c r="A20" s="227">
        <v>11</v>
      </c>
      <c r="B20" s="223" t="s">
        <v>360</v>
      </c>
      <c r="C20" s="223" t="s">
        <v>806</v>
      </c>
      <c r="D20" s="231" t="s">
        <v>366</v>
      </c>
      <c r="E20" s="149"/>
      <c r="F20" s="168"/>
      <c r="G20" s="149"/>
      <c r="H20" s="26">
        <v>150000</v>
      </c>
      <c r="I20" s="149"/>
      <c r="J20" s="229"/>
      <c r="K20" s="129">
        <v>150000</v>
      </c>
      <c r="L20" s="149" t="s">
        <v>433</v>
      </c>
      <c r="M20" s="150"/>
      <c r="N20" s="151"/>
      <c r="O20" s="320">
        <f>+K20</f>
        <v>150000</v>
      </c>
      <c r="P20" s="321"/>
      <c r="Q20" s="321"/>
      <c r="R20" s="321"/>
      <c r="S20" s="322"/>
      <c r="T20" s="152">
        <f t="shared" si="1"/>
        <v>0</v>
      </c>
      <c r="U20" s="82"/>
      <c r="V20" s="75">
        <f t="shared" si="2"/>
        <v>0</v>
      </c>
      <c r="X20" s="15">
        <v>150000</v>
      </c>
    </row>
    <row r="21" spans="1:24" s="25" customFormat="1" x14ac:dyDescent="0.25">
      <c r="A21" s="227">
        <v>12</v>
      </c>
      <c r="B21" s="223" t="s">
        <v>360</v>
      </c>
      <c r="C21" s="223" t="s">
        <v>807</v>
      </c>
      <c r="D21" s="231" t="s">
        <v>366</v>
      </c>
      <c r="E21" s="149"/>
      <c r="F21" s="168"/>
      <c r="G21" s="149"/>
      <c r="H21" s="26">
        <v>250000</v>
      </c>
      <c r="I21" s="149"/>
      <c r="J21" s="229"/>
      <c r="K21" s="129">
        <v>250000</v>
      </c>
      <c r="L21" s="149" t="s">
        <v>433</v>
      </c>
      <c r="M21" s="150"/>
      <c r="N21" s="151"/>
      <c r="O21" s="320">
        <f t="shared" ref="O21:O24" si="3">+K21</f>
        <v>250000</v>
      </c>
      <c r="P21" s="321"/>
      <c r="Q21" s="321"/>
      <c r="R21" s="321"/>
      <c r="S21" s="322"/>
      <c r="T21" s="152">
        <f t="shared" si="1"/>
        <v>0</v>
      </c>
      <c r="U21" s="131"/>
      <c r="V21" s="103">
        <f t="shared" si="2"/>
        <v>0</v>
      </c>
      <c r="X21" s="15">
        <v>250000</v>
      </c>
    </row>
    <row r="22" spans="1:24" s="25" customFormat="1" x14ac:dyDescent="0.25">
      <c r="A22" s="227">
        <v>13</v>
      </c>
      <c r="B22" s="223" t="s">
        <v>360</v>
      </c>
      <c r="C22" s="223" t="s">
        <v>808</v>
      </c>
      <c r="D22" s="231" t="s">
        <v>366</v>
      </c>
      <c r="E22" s="149"/>
      <c r="F22" s="168"/>
      <c r="G22" s="149"/>
      <c r="H22" s="26">
        <v>450000</v>
      </c>
      <c r="I22" s="149"/>
      <c r="J22" s="229"/>
      <c r="K22" s="129">
        <v>450000</v>
      </c>
      <c r="L22" s="149" t="s">
        <v>433</v>
      </c>
      <c r="M22" s="150"/>
      <c r="N22" s="151"/>
      <c r="O22" s="320">
        <f t="shared" si="3"/>
        <v>450000</v>
      </c>
      <c r="P22" s="321"/>
      <c r="Q22" s="321"/>
      <c r="R22" s="321"/>
      <c r="S22" s="322"/>
      <c r="T22" s="152">
        <f t="shared" si="1"/>
        <v>0</v>
      </c>
      <c r="U22" s="131"/>
      <c r="V22" s="103">
        <f t="shared" si="2"/>
        <v>0</v>
      </c>
      <c r="X22" s="68">
        <v>450000</v>
      </c>
    </row>
    <row r="23" spans="1:24" s="25" customFormat="1" x14ac:dyDescent="0.25">
      <c r="A23" s="227">
        <v>14</v>
      </c>
      <c r="B23" s="223" t="s">
        <v>360</v>
      </c>
      <c r="C23" s="223" t="s">
        <v>809</v>
      </c>
      <c r="D23" s="231" t="s">
        <v>366</v>
      </c>
      <c r="E23" s="149"/>
      <c r="F23" s="168"/>
      <c r="G23" s="149"/>
      <c r="H23" s="26">
        <v>150000</v>
      </c>
      <c r="I23" s="149"/>
      <c r="J23" s="229"/>
      <c r="K23" s="129">
        <v>150000</v>
      </c>
      <c r="L23" s="149" t="s">
        <v>433</v>
      </c>
      <c r="M23" s="150"/>
      <c r="N23" s="151"/>
      <c r="O23" s="320">
        <f t="shared" si="3"/>
        <v>150000</v>
      </c>
      <c r="P23" s="321"/>
      <c r="Q23" s="321"/>
      <c r="R23" s="321"/>
      <c r="S23" s="322"/>
      <c r="T23" s="152">
        <f t="shared" si="1"/>
        <v>0</v>
      </c>
      <c r="U23" s="131"/>
      <c r="V23" s="103">
        <f t="shared" si="2"/>
        <v>0</v>
      </c>
      <c r="X23" s="68">
        <v>150000</v>
      </c>
    </row>
    <row r="24" spans="1:24" s="25" customFormat="1" x14ac:dyDescent="0.25">
      <c r="A24" s="227">
        <v>15</v>
      </c>
      <c r="B24" s="223" t="s">
        <v>360</v>
      </c>
      <c r="C24" s="223" t="s">
        <v>810</v>
      </c>
      <c r="D24" s="231" t="s">
        <v>366</v>
      </c>
      <c r="E24" s="149"/>
      <c r="F24" s="168"/>
      <c r="G24" s="149"/>
      <c r="H24" s="26">
        <v>150000</v>
      </c>
      <c r="I24" s="149"/>
      <c r="J24" s="229"/>
      <c r="K24" s="129">
        <v>150000</v>
      </c>
      <c r="L24" s="149" t="s">
        <v>433</v>
      </c>
      <c r="M24" s="150"/>
      <c r="N24" s="151"/>
      <c r="O24" s="320">
        <f t="shared" si="3"/>
        <v>150000</v>
      </c>
      <c r="P24" s="321"/>
      <c r="Q24" s="321"/>
      <c r="R24" s="321"/>
      <c r="S24" s="322"/>
      <c r="T24" s="152">
        <f t="shared" si="1"/>
        <v>0</v>
      </c>
      <c r="U24" s="131"/>
      <c r="V24" s="103">
        <f t="shared" si="2"/>
        <v>0</v>
      </c>
      <c r="X24" s="68">
        <v>150000</v>
      </c>
    </row>
    <row r="25" spans="1:24" s="25" customFormat="1" x14ac:dyDescent="0.25">
      <c r="A25" s="227">
        <v>16</v>
      </c>
      <c r="B25" s="223" t="s">
        <v>423</v>
      </c>
      <c r="C25" s="223" t="s">
        <v>800</v>
      </c>
      <c r="D25" s="231" t="s">
        <v>377</v>
      </c>
      <c r="E25" s="149"/>
      <c r="F25" s="168"/>
      <c r="G25" s="149"/>
      <c r="H25" s="26">
        <v>5760911.6600000001</v>
      </c>
      <c r="I25" s="149"/>
      <c r="J25" s="229"/>
      <c r="K25" s="129">
        <v>5760911.6600000001</v>
      </c>
      <c r="L25" s="149" t="s">
        <v>431</v>
      </c>
      <c r="M25" s="150"/>
      <c r="N25" s="151"/>
      <c r="O25" s="320">
        <f t="shared" ref="O25:O30" si="4">+K25</f>
        <v>5760911.6600000001</v>
      </c>
      <c r="P25" s="321"/>
      <c r="Q25" s="321"/>
      <c r="R25" s="321"/>
      <c r="S25" s="322"/>
      <c r="T25" s="152">
        <f t="shared" si="1"/>
        <v>0</v>
      </c>
      <c r="U25" s="131"/>
      <c r="V25" s="103">
        <f t="shared" si="2"/>
        <v>0</v>
      </c>
      <c r="X25" s="68">
        <v>5760911.6600000001</v>
      </c>
    </row>
    <row r="26" spans="1:24" ht="30" x14ac:dyDescent="0.25">
      <c r="A26" s="227">
        <v>17</v>
      </c>
      <c r="B26" s="223" t="s">
        <v>368</v>
      </c>
      <c r="C26" s="223" t="s">
        <v>811</v>
      </c>
      <c r="D26" s="231" t="s">
        <v>376</v>
      </c>
      <c r="E26" s="149"/>
      <c r="F26" s="168"/>
      <c r="G26" s="149"/>
      <c r="H26" s="26">
        <v>8400</v>
      </c>
      <c r="I26" s="149"/>
      <c r="J26" s="229"/>
      <c r="K26" s="129">
        <v>8400</v>
      </c>
      <c r="L26" s="149" t="s">
        <v>430</v>
      </c>
      <c r="M26" s="150"/>
      <c r="N26" s="151"/>
      <c r="O26" s="320">
        <f t="shared" si="4"/>
        <v>8400</v>
      </c>
      <c r="P26" s="321"/>
      <c r="Q26" s="321"/>
      <c r="R26" s="321"/>
      <c r="S26" s="322"/>
      <c r="T26" s="152">
        <f t="shared" si="1"/>
        <v>0</v>
      </c>
      <c r="U26" s="82"/>
      <c r="V26" s="103">
        <f t="shared" si="2"/>
        <v>0</v>
      </c>
      <c r="X26" s="68">
        <v>8400</v>
      </c>
    </row>
    <row r="27" spans="1:24" x14ac:dyDescent="0.25">
      <c r="A27" s="227">
        <v>18</v>
      </c>
      <c r="B27" s="223" t="s">
        <v>362</v>
      </c>
      <c r="C27" s="223" t="s">
        <v>812</v>
      </c>
      <c r="D27" s="231" t="s">
        <v>279</v>
      </c>
      <c r="E27" s="149"/>
      <c r="F27" s="168"/>
      <c r="G27" s="149"/>
      <c r="H27" s="26">
        <v>51500</v>
      </c>
      <c r="I27" s="149"/>
      <c r="J27" s="229"/>
      <c r="K27" s="129">
        <v>51500</v>
      </c>
      <c r="L27" s="149" t="s">
        <v>430</v>
      </c>
      <c r="M27" s="150"/>
      <c r="N27" s="151"/>
      <c r="O27" s="320">
        <f t="shared" si="4"/>
        <v>51500</v>
      </c>
      <c r="P27" s="321"/>
      <c r="Q27" s="321"/>
      <c r="R27" s="321"/>
      <c r="S27" s="322"/>
      <c r="T27" s="152">
        <f t="shared" si="1"/>
        <v>0</v>
      </c>
      <c r="U27" s="82"/>
      <c r="V27" s="103">
        <f t="shared" si="2"/>
        <v>0</v>
      </c>
      <c r="X27" s="15">
        <v>51500</v>
      </c>
    </row>
    <row r="28" spans="1:24" ht="30" x14ac:dyDescent="0.25">
      <c r="A28" s="227">
        <v>19</v>
      </c>
      <c r="B28" s="223" t="s">
        <v>362</v>
      </c>
      <c r="C28" s="223" t="s">
        <v>811</v>
      </c>
      <c r="D28" s="231" t="s">
        <v>372</v>
      </c>
      <c r="E28" s="149"/>
      <c r="F28" s="168"/>
      <c r="G28" s="149"/>
      <c r="H28" s="26">
        <v>200643</v>
      </c>
      <c r="I28" s="149"/>
      <c r="J28" s="229"/>
      <c r="K28" s="129">
        <v>200643</v>
      </c>
      <c r="L28" s="149" t="s">
        <v>430</v>
      </c>
      <c r="M28" s="150"/>
      <c r="N28" s="151"/>
      <c r="O28" s="320">
        <f t="shared" si="4"/>
        <v>200643</v>
      </c>
      <c r="P28" s="321"/>
      <c r="Q28" s="321"/>
      <c r="R28" s="321"/>
      <c r="S28" s="322"/>
      <c r="T28" s="152">
        <f t="shared" si="1"/>
        <v>0</v>
      </c>
      <c r="U28" s="82"/>
      <c r="V28" s="103">
        <f t="shared" si="2"/>
        <v>0</v>
      </c>
      <c r="X28" s="15">
        <v>200643</v>
      </c>
    </row>
    <row r="29" spans="1:24" ht="30" x14ac:dyDescent="0.25">
      <c r="A29" s="227">
        <v>20</v>
      </c>
      <c r="B29" s="223" t="s">
        <v>362</v>
      </c>
      <c r="C29" s="223" t="s">
        <v>813</v>
      </c>
      <c r="D29" s="231" t="s">
        <v>372</v>
      </c>
      <c r="E29" s="149"/>
      <c r="F29" s="26"/>
      <c r="G29" s="149"/>
      <c r="H29" s="26">
        <v>200643</v>
      </c>
      <c r="I29" s="149"/>
      <c r="J29" s="229"/>
      <c r="K29" s="129">
        <v>200643</v>
      </c>
      <c r="L29" s="149" t="s">
        <v>430</v>
      </c>
      <c r="M29" s="150"/>
      <c r="N29" s="151"/>
      <c r="O29" s="320">
        <f t="shared" si="4"/>
        <v>200643</v>
      </c>
      <c r="P29" s="321"/>
      <c r="Q29" s="321"/>
      <c r="R29" s="321"/>
      <c r="S29" s="322"/>
      <c r="T29" s="152">
        <f t="shared" si="1"/>
        <v>0</v>
      </c>
      <c r="U29" s="82"/>
      <c r="V29" s="103">
        <f t="shared" si="2"/>
        <v>0</v>
      </c>
      <c r="X29" s="15">
        <v>200643</v>
      </c>
    </row>
    <row r="30" spans="1:24" ht="30" x14ac:dyDescent="0.25">
      <c r="A30" s="227">
        <v>21</v>
      </c>
      <c r="B30" s="223" t="s">
        <v>362</v>
      </c>
      <c r="C30" s="223" t="s">
        <v>799</v>
      </c>
      <c r="D30" s="231" t="s">
        <v>373</v>
      </c>
      <c r="E30" s="149"/>
      <c r="F30" s="26"/>
      <c r="G30" s="149"/>
      <c r="H30" s="26">
        <v>250000</v>
      </c>
      <c r="I30" s="149"/>
      <c r="J30" s="229"/>
      <c r="K30" s="129">
        <v>250000</v>
      </c>
      <c r="L30" s="149" t="s">
        <v>430</v>
      </c>
      <c r="M30" s="150"/>
      <c r="N30" s="151"/>
      <c r="O30" s="320">
        <f t="shared" si="4"/>
        <v>250000</v>
      </c>
      <c r="P30" s="321"/>
      <c r="Q30" s="321"/>
      <c r="R30" s="321"/>
      <c r="S30" s="322"/>
      <c r="T30" s="152">
        <f t="shared" si="1"/>
        <v>0</v>
      </c>
      <c r="U30" s="82"/>
      <c r="V30" s="103">
        <f t="shared" si="2"/>
        <v>0</v>
      </c>
      <c r="X30" s="15">
        <v>250000</v>
      </c>
    </row>
    <row r="31" spans="1:24" x14ac:dyDescent="0.25">
      <c r="A31" s="227">
        <v>22</v>
      </c>
      <c r="B31" s="223" t="s">
        <v>374</v>
      </c>
      <c r="C31" s="223" t="s">
        <v>815</v>
      </c>
      <c r="D31" s="231" t="s">
        <v>375</v>
      </c>
      <c r="E31" s="149"/>
      <c r="F31" s="26"/>
      <c r="G31" s="149"/>
      <c r="H31" s="26">
        <f>472200+60000</f>
        <v>532200</v>
      </c>
      <c r="I31" s="149"/>
      <c r="J31" s="229"/>
      <c r="K31" s="129">
        <f>+H31</f>
        <v>532200</v>
      </c>
      <c r="L31" s="149"/>
      <c r="M31" s="150"/>
      <c r="N31" s="151"/>
      <c r="O31" s="320">
        <v>0</v>
      </c>
      <c r="P31" s="321"/>
      <c r="Q31" s="321"/>
      <c r="R31" s="321"/>
      <c r="S31" s="322"/>
      <c r="T31" s="152">
        <f t="shared" si="1"/>
        <v>532200</v>
      </c>
      <c r="U31" s="82"/>
      <c r="V31" s="103">
        <f t="shared" si="2"/>
        <v>532200</v>
      </c>
      <c r="X31" s="15">
        <v>0</v>
      </c>
    </row>
    <row r="32" spans="1:24" s="127" customFormat="1" ht="30" x14ac:dyDescent="0.25">
      <c r="A32" s="234">
        <v>23</v>
      </c>
      <c r="B32" s="235" t="s">
        <v>378</v>
      </c>
      <c r="C32" s="169" t="s">
        <v>405</v>
      </c>
      <c r="D32" s="236" t="s">
        <v>438</v>
      </c>
      <c r="E32" s="237"/>
      <c r="F32" s="238"/>
      <c r="G32" s="237"/>
      <c r="H32" s="238">
        <v>74212562.209999993</v>
      </c>
      <c r="I32" s="237"/>
      <c r="J32" s="239"/>
      <c r="K32" s="240">
        <f>+H32</f>
        <v>74212562.209999993</v>
      </c>
      <c r="L32" s="237" t="s">
        <v>430</v>
      </c>
      <c r="M32" s="241"/>
      <c r="N32" s="242"/>
      <c r="O32" s="323">
        <f t="shared" ref="O32:O38" si="5">+K32</f>
        <v>74212562.209999993</v>
      </c>
      <c r="P32" s="324"/>
      <c r="Q32" s="324"/>
      <c r="R32" s="324"/>
      <c r="S32" s="325"/>
      <c r="T32" s="243">
        <f t="shared" si="1"/>
        <v>0</v>
      </c>
      <c r="U32" s="176"/>
      <c r="V32" s="177">
        <f t="shared" si="2"/>
        <v>0</v>
      </c>
      <c r="X32" s="15">
        <v>74212562.209999993</v>
      </c>
    </row>
    <row r="33" spans="1:24" s="127" customFormat="1" ht="30" x14ac:dyDescent="0.25">
      <c r="A33" s="234">
        <v>24</v>
      </c>
      <c r="B33" s="235" t="s">
        <v>378</v>
      </c>
      <c r="C33" s="169" t="s">
        <v>405</v>
      </c>
      <c r="D33" s="236" t="s">
        <v>439</v>
      </c>
      <c r="E33" s="237"/>
      <c r="F33" s="238"/>
      <c r="G33" s="237"/>
      <c r="H33" s="238">
        <v>99974.44</v>
      </c>
      <c r="I33" s="237"/>
      <c r="J33" s="239"/>
      <c r="K33" s="240">
        <f>+H33</f>
        <v>99974.44</v>
      </c>
      <c r="L33" s="237"/>
      <c r="M33" s="241"/>
      <c r="N33" s="242"/>
      <c r="O33" s="323">
        <f>+K33</f>
        <v>99974.44</v>
      </c>
      <c r="P33" s="324"/>
      <c r="Q33" s="324"/>
      <c r="R33" s="324"/>
      <c r="S33" s="325"/>
      <c r="T33" s="243">
        <f>+K33-O33</f>
        <v>0</v>
      </c>
      <c r="U33" s="176"/>
      <c r="V33" s="177">
        <f t="shared" si="2"/>
        <v>0</v>
      </c>
      <c r="X33" s="180">
        <v>99974.44</v>
      </c>
    </row>
    <row r="34" spans="1:24" s="127" customFormat="1" ht="30" x14ac:dyDescent="0.25">
      <c r="A34" s="234">
        <v>25</v>
      </c>
      <c r="B34" s="235" t="s">
        <v>378</v>
      </c>
      <c r="C34" s="169" t="s">
        <v>405</v>
      </c>
      <c r="D34" s="236" t="s">
        <v>440</v>
      </c>
      <c r="E34" s="237"/>
      <c r="F34" s="238"/>
      <c r="G34" s="237"/>
      <c r="H34" s="238">
        <f>11467950.91+8181648.4</f>
        <v>19649599.310000002</v>
      </c>
      <c r="I34" s="237"/>
      <c r="J34" s="239"/>
      <c r="K34" s="240">
        <f>+H34</f>
        <v>19649599.310000002</v>
      </c>
      <c r="L34" s="237"/>
      <c r="M34" s="241"/>
      <c r="N34" s="242"/>
      <c r="O34" s="323">
        <v>17850557.800000001</v>
      </c>
      <c r="P34" s="324"/>
      <c r="Q34" s="324"/>
      <c r="R34" s="324"/>
      <c r="S34" s="325"/>
      <c r="T34" s="243">
        <f>+K34-O34</f>
        <v>1799041.5100000016</v>
      </c>
      <c r="U34" s="176"/>
      <c r="V34" s="177">
        <f t="shared" si="2"/>
        <v>1799041.5100000016</v>
      </c>
      <c r="X34" s="180">
        <v>17850557.800000001</v>
      </c>
    </row>
    <row r="35" spans="1:24" s="127" customFormat="1" ht="30" x14ac:dyDescent="0.25">
      <c r="A35" s="234">
        <v>26</v>
      </c>
      <c r="B35" s="235" t="s">
        <v>378</v>
      </c>
      <c r="C35" s="169" t="s">
        <v>405</v>
      </c>
      <c r="D35" s="236" t="s">
        <v>441</v>
      </c>
      <c r="E35" s="237"/>
      <c r="F35" s="238"/>
      <c r="G35" s="237"/>
      <c r="H35" s="238">
        <f>19913284.26-19649599.31</f>
        <v>263684.95000000298</v>
      </c>
      <c r="I35" s="237"/>
      <c r="J35" s="239"/>
      <c r="K35" s="240">
        <f>+H35</f>
        <v>263684.95000000298</v>
      </c>
      <c r="L35" s="237"/>
      <c r="M35" s="241"/>
      <c r="N35" s="242"/>
      <c r="O35" s="323">
        <f>+K35</f>
        <v>263684.95000000298</v>
      </c>
      <c r="P35" s="324"/>
      <c r="Q35" s="324"/>
      <c r="R35" s="324"/>
      <c r="S35" s="325"/>
      <c r="T35" s="243">
        <f>+H35-K35</f>
        <v>0</v>
      </c>
      <c r="U35" s="176"/>
      <c r="V35" s="177"/>
      <c r="X35" s="180">
        <v>263684.95000000298</v>
      </c>
    </row>
    <row r="36" spans="1:24" ht="30" x14ac:dyDescent="0.25">
      <c r="A36" s="227">
        <v>27</v>
      </c>
      <c r="B36" s="223" t="s">
        <v>381</v>
      </c>
      <c r="C36" s="223" t="s">
        <v>814</v>
      </c>
      <c r="D36" s="231" t="s">
        <v>382</v>
      </c>
      <c r="E36" s="149"/>
      <c r="F36" s="26"/>
      <c r="G36" s="149"/>
      <c r="H36" s="26">
        <v>1005021</v>
      </c>
      <c r="I36" s="149"/>
      <c r="J36" s="229"/>
      <c r="K36" s="129">
        <v>1005021</v>
      </c>
      <c r="L36" s="149" t="s">
        <v>430</v>
      </c>
      <c r="M36" s="150"/>
      <c r="N36" s="151"/>
      <c r="O36" s="320">
        <f t="shared" si="5"/>
        <v>1005021</v>
      </c>
      <c r="P36" s="321"/>
      <c r="Q36" s="321"/>
      <c r="R36" s="321"/>
      <c r="S36" s="322"/>
      <c r="T36" s="152">
        <f t="shared" si="1"/>
        <v>0</v>
      </c>
      <c r="U36" s="82"/>
      <c r="V36" s="103"/>
      <c r="X36" s="180">
        <v>1005021</v>
      </c>
    </row>
    <row r="37" spans="1:24" ht="30" x14ac:dyDescent="0.25">
      <c r="A37" s="227">
        <v>28</v>
      </c>
      <c r="B37" s="223" t="s">
        <v>381</v>
      </c>
      <c r="C37" s="223" t="s">
        <v>814</v>
      </c>
      <c r="D37" s="231" t="s">
        <v>383</v>
      </c>
      <c r="E37" s="149"/>
      <c r="F37" s="26"/>
      <c r="G37" s="149"/>
      <c r="H37" s="26">
        <v>30144</v>
      </c>
      <c r="I37" s="149"/>
      <c r="J37" s="229"/>
      <c r="K37" s="129">
        <v>30144</v>
      </c>
      <c r="L37" s="149" t="s">
        <v>430</v>
      </c>
      <c r="M37" s="150"/>
      <c r="N37" s="151"/>
      <c r="O37" s="320">
        <f t="shared" si="5"/>
        <v>30144</v>
      </c>
      <c r="P37" s="321"/>
      <c r="Q37" s="321"/>
      <c r="R37" s="321"/>
      <c r="S37" s="322"/>
      <c r="T37" s="152">
        <f t="shared" si="1"/>
        <v>0</v>
      </c>
      <c r="U37" s="82"/>
      <c r="V37" s="103"/>
      <c r="X37" s="15">
        <v>30144</v>
      </c>
    </row>
    <row r="38" spans="1:24" ht="30" x14ac:dyDescent="0.25">
      <c r="A38" s="227">
        <v>29</v>
      </c>
      <c r="B38" s="223" t="s">
        <v>381</v>
      </c>
      <c r="C38" s="223" t="s">
        <v>815</v>
      </c>
      <c r="D38" s="231" t="s">
        <v>395</v>
      </c>
      <c r="E38" s="149"/>
      <c r="F38" s="26"/>
      <c r="G38" s="149"/>
      <c r="H38" s="26">
        <v>2181929.87</v>
      </c>
      <c r="I38" s="149"/>
      <c r="J38" s="229"/>
      <c r="K38" s="129">
        <v>2181929.87</v>
      </c>
      <c r="L38" s="149" t="s">
        <v>430</v>
      </c>
      <c r="M38" s="150"/>
      <c r="N38" s="151"/>
      <c r="O38" s="320">
        <f t="shared" si="5"/>
        <v>2181929.87</v>
      </c>
      <c r="P38" s="321"/>
      <c r="Q38" s="321"/>
      <c r="R38" s="321"/>
      <c r="S38" s="322"/>
      <c r="T38" s="152">
        <f t="shared" si="1"/>
        <v>0</v>
      </c>
      <c r="U38" s="82"/>
      <c r="V38" s="103"/>
      <c r="X38" s="15">
        <v>2181929.87</v>
      </c>
    </row>
    <row r="39" spans="1:24" x14ac:dyDescent="0.25">
      <c r="A39" s="227">
        <v>30</v>
      </c>
      <c r="B39" s="223" t="s">
        <v>381</v>
      </c>
      <c r="C39" s="223" t="s">
        <v>815</v>
      </c>
      <c r="D39" s="231" t="s">
        <v>415</v>
      </c>
      <c r="E39" s="149"/>
      <c r="F39" s="26"/>
      <c r="G39" s="149"/>
      <c r="H39" s="26">
        <v>1463077.9</v>
      </c>
      <c r="I39" s="149"/>
      <c r="J39" s="229"/>
      <c r="K39" s="129">
        <v>1463077.9</v>
      </c>
      <c r="L39" s="149" t="s">
        <v>430</v>
      </c>
      <c r="M39" s="150"/>
      <c r="N39" s="151"/>
      <c r="O39" s="320">
        <f>+K39</f>
        <v>1463077.9</v>
      </c>
      <c r="P39" s="321"/>
      <c r="Q39" s="321"/>
      <c r="R39" s="321"/>
      <c r="S39" s="322"/>
      <c r="T39" s="152">
        <f>+K39-O39</f>
        <v>0</v>
      </c>
      <c r="U39" s="82"/>
      <c r="V39" s="103">
        <f t="shared" si="2"/>
        <v>0</v>
      </c>
      <c r="X39" s="15">
        <v>1463077.9</v>
      </c>
    </row>
    <row r="40" spans="1:24" x14ac:dyDescent="0.25">
      <c r="A40" s="227">
        <v>31</v>
      </c>
      <c r="B40" s="223" t="s">
        <v>416</v>
      </c>
      <c r="C40" s="223" t="s">
        <v>816</v>
      </c>
      <c r="D40" s="231" t="s">
        <v>417</v>
      </c>
      <c r="E40" s="149"/>
      <c r="F40" s="26"/>
      <c r="G40" s="149"/>
      <c r="H40" s="26">
        <v>171363.69</v>
      </c>
      <c r="I40" s="149"/>
      <c r="J40" s="229"/>
      <c r="K40" s="129">
        <v>171363.69</v>
      </c>
      <c r="L40" s="149" t="s">
        <v>431</v>
      </c>
      <c r="M40" s="150"/>
      <c r="N40" s="151"/>
      <c r="O40" s="320">
        <f>+H40-K40</f>
        <v>0</v>
      </c>
      <c r="P40" s="321"/>
      <c r="Q40" s="321"/>
      <c r="R40" s="321"/>
      <c r="S40" s="322"/>
      <c r="T40" s="152">
        <f>+K40-O40</f>
        <v>171363.69</v>
      </c>
      <c r="U40" s="82"/>
      <c r="V40" s="103">
        <f t="shared" si="2"/>
        <v>171363.69</v>
      </c>
      <c r="X40" s="15">
        <v>0</v>
      </c>
    </row>
    <row r="41" spans="1:24" x14ac:dyDescent="0.25">
      <c r="A41" s="227">
        <v>32</v>
      </c>
      <c r="B41" s="223" t="s">
        <v>416</v>
      </c>
      <c r="C41" s="223" t="s">
        <v>816</v>
      </c>
      <c r="D41" s="231" t="s">
        <v>417</v>
      </c>
      <c r="E41" s="149"/>
      <c r="F41" s="26"/>
      <c r="G41" s="149"/>
      <c r="H41" s="26">
        <v>-171363.69</v>
      </c>
      <c r="I41" s="149"/>
      <c r="J41" s="229"/>
      <c r="K41" s="129">
        <f>+H41</f>
        <v>-171363.69</v>
      </c>
      <c r="L41" s="149"/>
      <c r="M41" s="150"/>
      <c r="N41" s="151"/>
      <c r="O41" s="320">
        <f>+H41-K41</f>
        <v>0</v>
      </c>
      <c r="P41" s="321"/>
      <c r="Q41" s="321"/>
      <c r="R41" s="321"/>
      <c r="S41" s="322"/>
      <c r="T41" s="152">
        <f t="shared" ref="T41:T42" si="6">+K41-O41</f>
        <v>-171363.69</v>
      </c>
      <c r="U41" s="82"/>
      <c r="V41" s="103"/>
      <c r="X41" s="15">
        <v>0</v>
      </c>
    </row>
    <row r="42" spans="1:24" x14ac:dyDescent="0.25">
      <c r="A42" s="227">
        <v>33</v>
      </c>
      <c r="B42" s="223" t="s">
        <v>416</v>
      </c>
      <c r="C42" s="223" t="s">
        <v>816</v>
      </c>
      <c r="D42" s="231" t="s">
        <v>417</v>
      </c>
      <c r="E42" s="149"/>
      <c r="F42" s="26"/>
      <c r="G42" s="149"/>
      <c r="H42" s="26">
        <v>137090.95000000001</v>
      </c>
      <c r="I42" s="149"/>
      <c r="J42" s="229"/>
      <c r="K42" s="129">
        <f>+H42</f>
        <v>137090.95000000001</v>
      </c>
      <c r="L42" s="149"/>
      <c r="M42" s="150"/>
      <c r="N42" s="151"/>
      <c r="O42" s="320">
        <f>+K42</f>
        <v>137090.95000000001</v>
      </c>
      <c r="P42" s="321"/>
      <c r="Q42" s="321"/>
      <c r="R42" s="321"/>
      <c r="S42" s="322"/>
      <c r="T42" s="152">
        <f t="shared" si="6"/>
        <v>0</v>
      </c>
      <c r="U42" s="82"/>
      <c r="V42" s="103"/>
      <c r="X42" s="15">
        <v>137090.95000000001</v>
      </c>
    </row>
    <row r="43" spans="1:24" ht="30" x14ac:dyDescent="0.25">
      <c r="A43" s="227">
        <v>34</v>
      </c>
      <c r="B43" s="223" t="s">
        <v>362</v>
      </c>
      <c r="C43" s="223" t="s">
        <v>815</v>
      </c>
      <c r="D43" s="231" t="s">
        <v>443</v>
      </c>
      <c r="E43" s="149"/>
      <c r="F43" s="26"/>
      <c r="G43" s="149"/>
      <c r="H43" s="26">
        <v>6000</v>
      </c>
      <c r="I43" s="149"/>
      <c r="J43" s="229"/>
      <c r="K43" s="129">
        <f>+H43</f>
        <v>6000</v>
      </c>
      <c r="L43" s="149"/>
      <c r="M43" s="150"/>
      <c r="N43" s="151"/>
      <c r="O43" s="320">
        <v>0</v>
      </c>
      <c r="P43" s="321"/>
      <c r="Q43" s="321"/>
      <c r="R43" s="321"/>
      <c r="S43" s="322"/>
      <c r="T43" s="152">
        <f t="shared" ref="T43:T48" si="7">+K43-O43</f>
        <v>6000</v>
      </c>
      <c r="U43" s="82"/>
      <c r="V43" s="103"/>
    </row>
    <row r="44" spans="1:24" x14ac:dyDescent="0.25">
      <c r="A44" s="227">
        <v>35</v>
      </c>
      <c r="B44" s="223" t="s">
        <v>362</v>
      </c>
      <c r="C44" s="223" t="s">
        <v>815</v>
      </c>
      <c r="D44" s="231" t="s">
        <v>444</v>
      </c>
      <c r="E44" s="149"/>
      <c r="F44" s="26"/>
      <c r="G44" s="149"/>
      <c r="H44" s="26">
        <v>143114.84</v>
      </c>
      <c r="I44" s="149"/>
      <c r="J44" s="229"/>
      <c r="K44" s="129">
        <f t="shared" ref="K44:K55" si="8">+H44</f>
        <v>143114.84</v>
      </c>
      <c r="L44" s="149"/>
      <c r="M44" s="150"/>
      <c r="N44" s="151"/>
      <c r="O44" s="320">
        <v>0</v>
      </c>
      <c r="P44" s="321"/>
      <c r="Q44" s="321"/>
      <c r="R44" s="321"/>
      <c r="S44" s="322"/>
      <c r="T44" s="152">
        <f t="shared" si="7"/>
        <v>143114.84</v>
      </c>
      <c r="U44" s="82"/>
      <c r="V44" s="103"/>
    </row>
    <row r="45" spans="1:24" x14ac:dyDescent="0.25">
      <c r="A45" s="227">
        <v>36</v>
      </c>
      <c r="B45" s="223" t="s">
        <v>362</v>
      </c>
      <c r="C45" s="223" t="s">
        <v>815</v>
      </c>
      <c r="D45" s="231" t="s">
        <v>444</v>
      </c>
      <c r="E45" s="149"/>
      <c r="F45" s="26"/>
      <c r="G45" s="149"/>
      <c r="H45" s="26">
        <v>1443804.6</v>
      </c>
      <c r="I45" s="149"/>
      <c r="J45" s="229"/>
      <c r="K45" s="129">
        <f t="shared" si="8"/>
        <v>1443804.6</v>
      </c>
      <c r="L45" s="149"/>
      <c r="M45" s="150"/>
      <c r="N45" s="151"/>
      <c r="O45" s="320">
        <v>0</v>
      </c>
      <c r="P45" s="321"/>
      <c r="Q45" s="321"/>
      <c r="R45" s="321"/>
      <c r="S45" s="322"/>
      <c r="T45" s="152">
        <f t="shared" si="7"/>
        <v>1443804.6</v>
      </c>
      <c r="U45" s="82"/>
      <c r="V45" s="103"/>
    </row>
    <row r="46" spans="1:24" x14ac:dyDescent="0.25">
      <c r="A46" s="227">
        <v>37</v>
      </c>
      <c r="B46" s="223" t="s">
        <v>368</v>
      </c>
      <c r="C46" s="223" t="s">
        <v>815</v>
      </c>
      <c r="D46" s="231" t="s">
        <v>446</v>
      </c>
      <c r="E46" s="149"/>
      <c r="F46" s="26"/>
      <c r="G46" s="149"/>
      <c r="H46" s="26">
        <v>10918.4</v>
      </c>
      <c r="I46" s="149"/>
      <c r="J46" s="229"/>
      <c r="K46" s="129">
        <f t="shared" si="8"/>
        <v>10918.4</v>
      </c>
      <c r="L46" s="149"/>
      <c r="M46" s="150"/>
      <c r="N46" s="151"/>
      <c r="O46" s="320">
        <v>0</v>
      </c>
      <c r="P46" s="321"/>
      <c r="Q46" s="321"/>
      <c r="R46" s="321"/>
      <c r="S46" s="322"/>
      <c r="T46" s="152">
        <f t="shared" si="7"/>
        <v>10918.4</v>
      </c>
      <c r="U46" s="82"/>
      <c r="V46" s="103"/>
    </row>
    <row r="47" spans="1:24" x14ac:dyDescent="0.25">
      <c r="A47" s="227">
        <v>38</v>
      </c>
      <c r="B47" s="223" t="s">
        <v>368</v>
      </c>
      <c r="C47" s="223" t="s">
        <v>815</v>
      </c>
      <c r="D47" s="231" t="s">
        <v>447</v>
      </c>
      <c r="E47" s="149"/>
      <c r="F47" s="26"/>
      <c r="G47" s="149"/>
      <c r="H47" s="26">
        <f>48221.73+916023.16+40000+31943.74+1380895.68</f>
        <v>2417084.31</v>
      </c>
      <c r="I47" s="149"/>
      <c r="J47" s="229"/>
      <c r="K47" s="129">
        <f t="shared" si="8"/>
        <v>2417084.31</v>
      </c>
      <c r="L47" s="149"/>
      <c r="M47" s="150"/>
      <c r="N47" s="151"/>
      <c r="O47" s="320">
        <v>0</v>
      </c>
      <c r="P47" s="321"/>
      <c r="Q47" s="321"/>
      <c r="R47" s="321"/>
      <c r="S47" s="322"/>
      <c r="T47" s="152">
        <f t="shared" si="7"/>
        <v>2417084.31</v>
      </c>
      <c r="U47" s="82"/>
      <c r="V47" s="103"/>
    </row>
    <row r="48" spans="1:24" x14ac:dyDescent="0.25">
      <c r="A48" s="227">
        <v>39</v>
      </c>
      <c r="B48" s="223" t="s">
        <v>368</v>
      </c>
      <c r="C48" s="223" t="s">
        <v>815</v>
      </c>
      <c r="D48" s="231" t="s">
        <v>415</v>
      </c>
      <c r="E48" s="149"/>
      <c r="F48" s="26"/>
      <c r="G48" s="149"/>
      <c r="H48" s="26">
        <v>440165.09</v>
      </c>
      <c r="I48" s="149"/>
      <c r="J48" s="229"/>
      <c r="K48" s="129">
        <f t="shared" si="8"/>
        <v>440165.09</v>
      </c>
      <c r="L48" s="149"/>
      <c r="M48" s="150"/>
      <c r="N48" s="151"/>
      <c r="O48" s="320">
        <v>0</v>
      </c>
      <c r="P48" s="321"/>
      <c r="Q48" s="321"/>
      <c r="R48" s="321"/>
      <c r="S48" s="322"/>
      <c r="T48" s="152">
        <f t="shared" si="7"/>
        <v>440165.09</v>
      </c>
      <c r="U48" s="82"/>
      <c r="V48" s="103"/>
    </row>
    <row r="49" spans="1:24" x14ac:dyDescent="0.25">
      <c r="A49" s="227">
        <v>40</v>
      </c>
      <c r="B49" s="223" t="s">
        <v>368</v>
      </c>
      <c r="C49" s="223" t="s">
        <v>815</v>
      </c>
      <c r="D49" s="231" t="s">
        <v>522</v>
      </c>
      <c r="E49" s="149"/>
      <c r="F49" s="26"/>
      <c r="G49" s="149"/>
      <c r="H49" s="26">
        <v>188289.99</v>
      </c>
      <c r="I49" s="149"/>
      <c r="J49" s="229"/>
      <c r="K49" s="129">
        <f>+H49</f>
        <v>188289.99</v>
      </c>
      <c r="L49" s="149"/>
      <c r="M49" s="150"/>
      <c r="N49" s="151"/>
      <c r="O49" s="320"/>
      <c r="P49" s="321"/>
      <c r="Q49" s="321"/>
      <c r="R49" s="321"/>
      <c r="S49" s="322"/>
      <c r="T49" s="152">
        <f>+K49-O49</f>
        <v>188289.99</v>
      </c>
      <c r="U49" s="82"/>
      <c r="V49" s="103">
        <f t="shared" si="2"/>
        <v>188289.99</v>
      </c>
    </row>
    <row r="50" spans="1:24" ht="30" x14ac:dyDescent="0.25">
      <c r="A50" s="227">
        <v>41</v>
      </c>
      <c r="B50" s="223" t="s">
        <v>872</v>
      </c>
      <c r="C50" s="169" t="s">
        <v>405</v>
      </c>
      <c r="D50" s="236" t="s">
        <v>441</v>
      </c>
      <c r="E50" s="149"/>
      <c r="F50" s="26"/>
      <c r="G50" s="149"/>
      <c r="H50" s="26">
        <f>3430+13244.56+19677.63+11327.76+10586.06+3403.65+11341.27+11341.27+11341.27+11334.96</f>
        <v>107028.43000000002</v>
      </c>
      <c r="I50" s="149"/>
      <c r="J50" s="229"/>
      <c r="K50" s="129">
        <f t="shared" ref="K50:K53" si="9">+H50</f>
        <v>107028.43000000002</v>
      </c>
      <c r="L50" s="149"/>
      <c r="M50" s="150"/>
      <c r="N50" s="151"/>
      <c r="O50" s="320"/>
      <c r="P50" s="321"/>
      <c r="Q50" s="321"/>
      <c r="R50" s="321"/>
      <c r="S50" s="322"/>
      <c r="T50" s="152">
        <f t="shared" ref="T50:T55" si="10">+K50-O50</f>
        <v>107028.43000000002</v>
      </c>
      <c r="U50" s="82"/>
      <c r="V50" s="103"/>
    </row>
    <row r="51" spans="1:24" ht="30" x14ac:dyDescent="0.25">
      <c r="A51" s="227">
        <v>42</v>
      </c>
      <c r="B51" s="223" t="s">
        <v>872</v>
      </c>
      <c r="C51" s="223" t="s">
        <v>815</v>
      </c>
      <c r="D51" s="231" t="s">
        <v>876</v>
      </c>
      <c r="E51" s="149"/>
      <c r="F51" s="26"/>
      <c r="G51" s="149"/>
      <c r="H51" s="26">
        <v>2517368.64</v>
      </c>
      <c r="I51" s="149"/>
      <c r="J51" s="229"/>
      <c r="K51" s="129">
        <f t="shared" si="9"/>
        <v>2517368.64</v>
      </c>
      <c r="L51" s="149"/>
      <c r="M51" s="150"/>
      <c r="N51" s="151"/>
      <c r="O51" s="320"/>
      <c r="P51" s="321"/>
      <c r="Q51" s="321"/>
      <c r="R51" s="321"/>
      <c r="S51" s="322"/>
      <c r="T51" s="152">
        <f t="shared" si="10"/>
        <v>2517368.64</v>
      </c>
      <c r="U51" s="82"/>
      <c r="V51" s="103"/>
    </row>
    <row r="52" spans="1:24" ht="30" x14ac:dyDescent="0.25">
      <c r="A52" s="227">
        <v>43</v>
      </c>
      <c r="B52" s="223" t="s">
        <v>872</v>
      </c>
      <c r="C52" s="223" t="s">
        <v>815</v>
      </c>
      <c r="D52" s="231" t="s">
        <v>876</v>
      </c>
      <c r="E52" s="149"/>
      <c r="F52" s="26"/>
      <c r="G52" s="149"/>
      <c r="H52" s="26">
        <v>1642774.32</v>
      </c>
      <c r="I52" s="149"/>
      <c r="J52" s="229"/>
      <c r="K52" s="129">
        <f t="shared" si="9"/>
        <v>1642774.32</v>
      </c>
      <c r="L52" s="149"/>
      <c r="M52" s="150"/>
      <c r="N52" s="151"/>
      <c r="O52" s="320"/>
      <c r="P52" s="321"/>
      <c r="Q52" s="321"/>
      <c r="R52" s="321"/>
      <c r="S52" s="322"/>
      <c r="T52" s="152">
        <f t="shared" si="10"/>
        <v>1642774.32</v>
      </c>
      <c r="U52" s="82"/>
      <c r="V52" s="103"/>
    </row>
    <row r="53" spans="1:24" ht="30" x14ac:dyDescent="0.25">
      <c r="A53" s="227">
        <v>44</v>
      </c>
      <c r="B53" s="223" t="s">
        <v>381</v>
      </c>
      <c r="C53" s="223" t="s">
        <v>815</v>
      </c>
      <c r="D53" s="231" t="s">
        <v>395</v>
      </c>
      <c r="E53" s="149"/>
      <c r="F53" s="26"/>
      <c r="G53" s="149"/>
      <c r="H53" s="26">
        <v>281614.94</v>
      </c>
      <c r="I53" s="149"/>
      <c r="J53" s="229"/>
      <c r="K53" s="129">
        <f t="shared" si="9"/>
        <v>281614.94</v>
      </c>
      <c r="L53" s="149"/>
      <c r="M53" s="150"/>
      <c r="N53" s="151"/>
      <c r="O53" s="320"/>
      <c r="P53" s="321"/>
      <c r="Q53" s="321"/>
      <c r="R53" s="321"/>
      <c r="S53" s="322"/>
      <c r="T53" s="152">
        <f t="shared" si="10"/>
        <v>281614.94</v>
      </c>
      <c r="U53" s="82"/>
      <c r="V53" s="103"/>
    </row>
    <row r="54" spans="1:24" ht="30" x14ac:dyDescent="0.25">
      <c r="A54" s="227">
        <v>41</v>
      </c>
      <c r="B54" s="223" t="s">
        <v>381</v>
      </c>
      <c r="C54" s="223" t="s">
        <v>815</v>
      </c>
      <c r="D54" s="231" t="s">
        <v>395</v>
      </c>
      <c r="E54" s="149"/>
      <c r="F54" s="26"/>
      <c r="G54" s="149"/>
      <c r="H54" s="26">
        <v>240065.82</v>
      </c>
      <c r="I54" s="149"/>
      <c r="J54" s="229"/>
      <c r="K54" s="26">
        <f t="shared" si="8"/>
        <v>240065.82</v>
      </c>
      <c r="L54" s="149"/>
      <c r="M54" s="150"/>
      <c r="N54" s="151"/>
      <c r="O54" s="320"/>
      <c r="P54" s="321"/>
      <c r="Q54" s="321"/>
      <c r="R54" s="321"/>
      <c r="S54" s="322"/>
      <c r="T54" s="152">
        <f t="shared" si="10"/>
        <v>240065.82</v>
      </c>
      <c r="U54" s="82"/>
      <c r="V54" s="103">
        <f t="shared" si="2"/>
        <v>240065.82</v>
      </c>
    </row>
    <row r="55" spans="1:24" ht="30.75" thickBot="1" x14ac:dyDescent="0.3">
      <c r="A55" s="227">
        <v>42</v>
      </c>
      <c r="B55" s="223" t="s">
        <v>381</v>
      </c>
      <c r="C55" s="223" t="s">
        <v>815</v>
      </c>
      <c r="D55" s="231" t="s">
        <v>877</v>
      </c>
      <c r="E55" s="149"/>
      <c r="F55" s="26"/>
      <c r="G55" s="149"/>
      <c r="H55" s="26">
        <v>168000</v>
      </c>
      <c r="I55" s="149"/>
      <c r="J55" s="229"/>
      <c r="K55" s="26">
        <f t="shared" si="8"/>
        <v>168000</v>
      </c>
      <c r="L55" s="149"/>
      <c r="M55" s="150"/>
      <c r="N55" s="151"/>
      <c r="O55" s="320"/>
      <c r="P55" s="321"/>
      <c r="Q55" s="321"/>
      <c r="R55" s="321"/>
      <c r="S55" s="322"/>
      <c r="T55" s="152">
        <f t="shared" si="10"/>
        <v>168000</v>
      </c>
      <c r="U55" s="82"/>
      <c r="V55" s="103">
        <f t="shared" si="2"/>
        <v>168000</v>
      </c>
    </row>
    <row r="56" spans="1:24" ht="16.5" thickTop="1" thickBot="1" x14ac:dyDescent="0.3">
      <c r="A56" s="307"/>
      <c r="B56" s="307"/>
      <c r="C56" s="307"/>
      <c r="D56" s="307"/>
      <c r="E56" s="307"/>
      <c r="F56" s="132">
        <f>+F32+F36+F37</f>
        <v>0</v>
      </c>
      <c r="G56" s="132">
        <f t="shared" ref="G56:V56" si="11">SUM(G10:G55)</f>
        <v>0</v>
      </c>
      <c r="H56" s="132">
        <f>SUM(H10:H55)</f>
        <v>90303411.610000014</v>
      </c>
      <c r="I56" s="132">
        <f t="shared" si="11"/>
        <v>0</v>
      </c>
      <c r="J56" s="132">
        <f t="shared" si="11"/>
        <v>0</v>
      </c>
      <c r="K56" s="133">
        <f>SUM(K10:K55)</f>
        <v>158134502.91999999</v>
      </c>
      <c r="L56" s="134">
        <f t="shared" si="11"/>
        <v>0</v>
      </c>
      <c r="M56" s="134">
        <f t="shared" si="11"/>
        <v>0</v>
      </c>
      <c r="N56" s="134">
        <f t="shared" si="11"/>
        <v>0</v>
      </c>
      <c r="O56" s="329">
        <f>SUM(O10:S55)</f>
        <v>145852046.55999997</v>
      </c>
      <c r="P56" s="330"/>
      <c r="Q56" s="330"/>
      <c r="R56" s="330"/>
      <c r="S56" s="331"/>
      <c r="T56" s="133">
        <f>SUM(T10:T55)</f>
        <v>12282456.360000003</v>
      </c>
      <c r="U56" s="307">
        <f t="shared" si="11"/>
        <v>0</v>
      </c>
      <c r="V56" s="307">
        <f t="shared" si="11"/>
        <v>3443946.4800000009</v>
      </c>
      <c r="X56" s="15">
        <f>SUM(X10:X55)</f>
        <v>145852046.55999997</v>
      </c>
    </row>
    <row r="57" spans="1:24" ht="16.5" thickTop="1" thickBot="1" x14ac:dyDescent="0.3">
      <c r="A57" s="308" t="s">
        <v>403</v>
      </c>
      <c r="B57" s="309"/>
      <c r="C57" s="309"/>
      <c r="D57" s="309"/>
      <c r="E57" s="309"/>
      <c r="F57" s="135">
        <f>+F56</f>
        <v>0</v>
      </c>
      <c r="G57" s="135"/>
      <c r="H57" s="135">
        <f>H56</f>
        <v>90303411.610000014</v>
      </c>
      <c r="I57" s="135"/>
      <c r="J57" s="135">
        <f>SUM(J56)</f>
        <v>0</v>
      </c>
      <c r="K57" s="135">
        <f>K56</f>
        <v>158134502.91999999</v>
      </c>
      <c r="L57" s="136"/>
      <c r="M57" s="136"/>
      <c r="N57" s="136"/>
      <c r="O57" s="332">
        <f>O56</f>
        <v>145852046.55999997</v>
      </c>
      <c r="P57" s="333"/>
      <c r="Q57" s="333"/>
      <c r="R57" s="333"/>
      <c r="S57" s="334"/>
      <c r="T57" s="137">
        <f>+T56</f>
        <v>12282456.360000003</v>
      </c>
    </row>
    <row r="58" spans="1:24" ht="16.5" thickTop="1" thickBot="1" x14ac:dyDescent="0.3">
      <c r="A58" s="310" t="s">
        <v>291</v>
      </c>
      <c r="B58" s="311"/>
      <c r="C58" s="311"/>
      <c r="D58" s="311"/>
      <c r="E58" s="312"/>
      <c r="F58" s="138">
        <f>+F56-F57</f>
        <v>0</v>
      </c>
      <c r="G58" s="139"/>
      <c r="H58" s="138">
        <f>+H56-H57</f>
        <v>0</v>
      </c>
      <c r="I58" s="139"/>
      <c r="J58" s="139"/>
      <c r="K58" s="138">
        <f>+K56-K57</f>
        <v>0</v>
      </c>
      <c r="L58" s="313"/>
      <c r="M58" s="314"/>
      <c r="N58" s="315"/>
      <c r="O58" s="335">
        <f>+O56-O57</f>
        <v>0</v>
      </c>
      <c r="P58" s="336"/>
      <c r="Q58" s="336"/>
      <c r="R58" s="336"/>
      <c r="S58" s="337"/>
      <c r="T58" s="138">
        <f>+T56-T57</f>
        <v>0</v>
      </c>
      <c r="V58" s="15"/>
    </row>
    <row r="59" spans="1:24" ht="15.75" hidden="1" thickTop="1" x14ac:dyDescent="0.25">
      <c r="A59" s="69" t="s">
        <v>384</v>
      </c>
      <c r="T59" s="15"/>
    </row>
    <row r="60" spans="1:24" hidden="1" x14ac:dyDescent="0.25">
      <c r="T60" s="15"/>
    </row>
    <row r="61" spans="1:24" hidden="1" x14ac:dyDescent="0.25">
      <c r="H61" s="15">
        <f>56785312.21-H56</f>
        <v>-33518099.400000013</v>
      </c>
      <c r="T61" s="15"/>
    </row>
    <row r="62" spans="1:24" hidden="1" x14ac:dyDescent="0.25">
      <c r="H62" s="15"/>
      <c r="I62" s="2">
        <f>74312536.65+48909116.65</f>
        <v>123221653.30000001</v>
      </c>
      <c r="T62" s="15"/>
    </row>
    <row r="63" spans="1:24" hidden="1" x14ac:dyDescent="0.25">
      <c r="I63" s="15">
        <f>+I62-K56</f>
        <v>-34912849.619999975</v>
      </c>
      <c r="T63" s="15"/>
    </row>
    <row r="64" spans="1:24" hidden="1" x14ac:dyDescent="0.25">
      <c r="I64" s="15"/>
    </row>
    <row r="65" spans="11:20" ht="15.75" thickTop="1" x14ac:dyDescent="0.25">
      <c r="R65" s="299"/>
      <c r="S65" s="299"/>
      <c r="T65" s="15"/>
    </row>
    <row r="66" spans="11:20" x14ac:dyDescent="0.25">
      <c r="M66" s="15"/>
      <c r="T66" s="15"/>
    </row>
    <row r="67" spans="11:20" x14ac:dyDescent="0.25">
      <c r="K67" s="15"/>
      <c r="M67" s="15"/>
    </row>
    <row r="68" spans="11:20" x14ac:dyDescent="0.25">
      <c r="M68" s="15"/>
    </row>
    <row r="69" spans="11:20" x14ac:dyDescent="0.25">
      <c r="M69" s="15"/>
    </row>
    <row r="70" spans="11:20" x14ac:dyDescent="0.25">
      <c r="M70" s="15"/>
    </row>
    <row r="71" spans="11:20" x14ac:dyDescent="0.25">
      <c r="M71" s="15"/>
    </row>
    <row r="72" spans="11:20" x14ac:dyDescent="0.25">
      <c r="M72" s="15"/>
    </row>
  </sheetData>
  <mergeCells count="74">
    <mergeCell ref="O9:S9"/>
    <mergeCell ref="O38:S38"/>
    <mergeCell ref="O39:S39"/>
    <mergeCell ref="O40:S40"/>
    <mergeCell ref="O49:S49"/>
    <mergeCell ref="O25:S25"/>
    <mergeCell ref="O26:S26"/>
    <mergeCell ref="O27:S27"/>
    <mergeCell ref="O28:S28"/>
    <mergeCell ref="O29:S29"/>
    <mergeCell ref="O48:S48"/>
    <mergeCell ref="O33:S33"/>
    <mergeCell ref="O34:S34"/>
    <mergeCell ref="O35:S35"/>
    <mergeCell ref="O43:S43"/>
    <mergeCell ref="O44:S44"/>
    <mergeCell ref="O24:S24"/>
    <mergeCell ref="R65:S65"/>
    <mergeCell ref="O55:S55"/>
    <mergeCell ref="O56:S56"/>
    <mergeCell ref="O57:S57"/>
    <mergeCell ref="O58:S58"/>
    <mergeCell ref="O15:S15"/>
    <mergeCell ref="O20:S20"/>
    <mergeCell ref="O21:S21"/>
    <mergeCell ref="O22:S22"/>
    <mergeCell ref="O23:S23"/>
    <mergeCell ref="O16:S16"/>
    <mergeCell ref="O17:S17"/>
    <mergeCell ref="O18:S18"/>
    <mergeCell ref="O19:S19"/>
    <mergeCell ref="O10:S10"/>
    <mergeCell ref="O11:S11"/>
    <mergeCell ref="O12:S12"/>
    <mergeCell ref="O13:S13"/>
    <mergeCell ref="O14:S14"/>
    <mergeCell ref="A56:E56"/>
    <mergeCell ref="U56:V56"/>
    <mergeCell ref="A57:E57"/>
    <mergeCell ref="A58:E58"/>
    <mergeCell ref="L58:N58"/>
    <mergeCell ref="O42:S42"/>
    <mergeCell ref="O54:S54"/>
    <mergeCell ref="O30:S30"/>
    <mergeCell ref="O31:S31"/>
    <mergeCell ref="O32:S32"/>
    <mergeCell ref="O36:S36"/>
    <mergeCell ref="O37:S37"/>
    <mergeCell ref="O45:S45"/>
    <mergeCell ref="O46:S46"/>
    <mergeCell ref="O47:S47"/>
    <mergeCell ref="O50:S50"/>
    <mergeCell ref="O51:S51"/>
    <mergeCell ref="O52:S52"/>
    <mergeCell ref="O53:S53"/>
    <mergeCell ref="O41:S41"/>
    <mergeCell ref="V6:V8"/>
    <mergeCell ref="L6:L8"/>
    <mergeCell ref="M6:N7"/>
    <mergeCell ref="T6:T8"/>
    <mergeCell ref="U6:U8"/>
    <mergeCell ref="O6:S8"/>
    <mergeCell ref="A3:T3"/>
    <mergeCell ref="A4:T4"/>
    <mergeCell ref="A6:A8"/>
    <mergeCell ref="B6:B8"/>
    <mergeCell ref="D6:D8"/>
    <mergeCell ref="E6:E8"/>
    <mergeCell ref="F6:F8"/>
    <mergeCell ref="G6:H7"/>
    <mergeCell ref="I6:I8"/>
    <mergeCell ref="J6:J8"/>
    <mergeCell ref="K6:K8"/>
    <mergeCell ref="C6:C8"/>
  </mergeCells>
  <phoneticPr fontId="16" type="noConversion"/>
  <pageMargins left="0.7" right="0.7" top="0.75" bottom="0.75" header="0.3" footer="0.3"/>
  <pageSetup paperSize="9" scale="29" fitToHeight="0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6536F7-C880-44EE-9E7E-3C71C2DF93A2}">
  <sheetPr>
    <tabColor rgb="FF00B0F0"/>
    <pageSetUpPr fitToPage="1"/>
  </sheetPr>
  <dimension ref="A1:Y43"/>
  <sheetViews>
    <sheetView zoomScaleNormal="100" workbookViewId="0">
      <selection activeCell="A10" sqref="A10"/>
    </sheetView>
  </sheetViews>
  <sheetFormatPr defaultColWidth="9.140625" defaultRowHeight="15" x14ac:dyDescent="0.25"/>
  <cols>
    <col min="1" max="1" width="5.7109375" style="2" customWidth="1"/>
    <col min="2" max="3" width="7.28515625" style="2" customWidth="1"/>
    <col min="4" max="4" width="23.7109375" style="2" customWidth="1"/>
    <col min="5" max="5" width="27.5703125" style="2" bestFit="1" customWidth="1"/>
    <col min="6" max="6" width="15" style="2" customWidth="1"/>
    <col min="7" max="7" width="8.42578125" style="2" customWidth="1"/>
    <col min="8" max="8" width="10" style="2" customWidth="1"/>
    <col min="9" max="9" width="7.42578125" style="2" customWidth="1"/>
    <col min="10" max="10" width="11.7109375" style="2" customWidth="1"/>
    <col min="11" max="11" width="14.42578125" style="2" customWidth="1"/>
    <col min="12" max="12" width="15" style="2" customWidth="1"/>
    <col min="13" max="13" width="8.42578125" style="2" customWidth="1"/>
    <col min="14" max="14" width="8.140625" style="2" customWidth="1"/>
    <col min="15" max="15" width="15.5703125" style="2" customWidth="1"/>
    <col min="16" max="18" width="13.7109375" style="2" customWidth="1"/>
    <col min="19" max="19" width="10.140625" style="2" customWidth="1"/>
    <col min="20" max="20" width="13.5703125" style="2" customWidth="1"/>
    <col min="21" max="21" width="12.5703125" style="2" customWidth="1"/>
    <col min="22" max="22" width="16.7109375" style="2" hidden="1" customWidth="1"/>
    <col min="23" max="23" width="14.85546875" style="2" hidden="1" customWidth="1"/>
    <col min="24" max="24" width="13.5703125" style="2" bestFit="1" customWidth="1"/>
    <col min="25" max="25" width="10.85546875" style="2" bestFit="1" customWidth="1"/>
    <col min="26" max="16384" width="9.140625" style="2"/>
  </cols>
  <sheetData>
    <row r="1" spans="1:23" x14ac:dyDescent="0.25">
      <c r="A1" s="113" t="s">
        <v>359</v>
      </c>
    </row>
    <row r="3" spans="1:23" x14ac:dyDescent="0.25">
      <c r="A3" s="299" t="s">
        <v>409</v>
      </c>
      <c r="B3" s="299"/>
      <c r="C3" s="299"/>
      <c r="D3" s="299"/>
      <c r="E3" s="299"/>
      <c r="F3" s="299"/>
      <c r="G3" s="299"/>
      <c r="H3" s="299"/>
      <c r="I3" s="299"/>
      <c r="J3" s="299"/>
      <c r="K3" s="299"/>
      <c r="L3" s="299"/>
      <c r="M3" s="299"/>
      <c r="N3" s="299"/>
      <c r="O3" s="299"/>
      <c r="P3" s="299"/>
      <c r="Q3" s="299"/>
      <c r="R3" s="299"/>
      <c r="S3" s="299"/>
      <c r="T3" s="299"/>
      <c r="U3" s="299"/>
    </row>
    <row r="4" spans="1:23" x14ac:dyDescent="0.25">
      <c r="A4" s="300" t="s">
        <v>448</v>
      </c>
      <c r="B4" s="300"/>
      <c r="C4" s="300"/>
      <c r="D4" s="300"/>
      <c r="E4" s="300"/>
      <c r="F4" s="300"/>
      <c r="G4" s="300"/>
      <c r="H4" s="300"/>
      <c r="I4" s="300"/>
      <c r="J4" s="300"/>
      <c r="K4" s="300"/>
      <c r="L4" s="300"/>
      <c r="M4" s="300"/>
      <c r="N4" s="300"/>
      <c r="O4" s="300"/>
      <c r="P4" s="300"/>
      <c r="Q4" s="300"/>
      <c r="R4" s="300"/>
      <c r="S4" s="300"/>
      <c r="T4" s="300"/>
      <c r="U4" s="300"/>
    </row>
    <row r="5" spans="1:23" ht="15.75" thickBot="1" x14ac:dyDescent="0.3">
      <c r="A5" s="71"/>
    </row>
    <row r="6" spans="1:23" ht="16.5" customHeight="1" thickTop="1" thickBot="1" x14ac:dyDescent="0.3">
      <c r="A6" s="283" t="s">
        <v>0</v>
      </c>
      <c r="B6" s="283" t="s">
        <v>332</v>
      </c>
      <c r="C6" s="283" t="s">
        <v>524</v>
      </c>
      <c r="D6" s="283" t="s">
        <v>1</v>
      </c>
      <c r="E6" s="283" t="s">
        <v>7</v>
      </c>
      <c r="F6" s="283" t="s">
        <v>414</v>
      </c>
      <c r="G6" s="284" t="s">
        <v>523</v>
      </c>
      <c r="H6" s="284"/>
      <c r="I6" s="283" t="s">
        <v>18</v>
      </c>
      <c r="J6" s="283" t="s">
        <v>19</v>
      </c>
      <c r="K6" s="284" t="s">
        <v>408</v>
      </c>
      <c r="L6" s="283" t="s">
        <v>4</v>
      </c>
      <c r="M6" s="283" t="s">
        <v>5</v>
      </c>
      <c r="N6" s="283"/>
      <c r="O6" s="283" t="s">
        <v>8</v>
      </c>
      <c r="P6" s="283"/>
      <c r="Q6" s="283"/>
      <c r="R6" s="283"/>
      <c r="S6" s="283"/>
      <c r="T6" s="283"/>
      <c r="U6" s="285" t="s">
        <v>413</v>
      </c>
      <c r="V6" s="285" t="s">
        <v>260</v>
      </c>
      <c r="W6" s="285" t="s">
        <v>261</v>
      </c>
    </row>
    <row r="7" spans="1:23" ht="25.5" customHeight="1" thickTop="1" thickBot="1" x14ac:dyDescent="0.3">
      <c r="A7" s="283"/>
      <c r="B7" s="283"/>
      <c r="C7" s="283"/>
      <c r="D7" s="283"/>
      <c r="E7" s="283"/>
      <c r="F7" s="283"/>
      <c r="G7" s="284"/>
      <c r="H7" s="284"/>
      <c r="I7" s="283"/>
      <c r="J7" s="283"/>
      <c r="K7" s="284"/>
      <c r="L7" s="283"/>
      <c r="M7" s="283"/>
      <c r="N7" s="283"/>
      <c r="O7" s="283" t="s">
        <v>6</v>
      </c>
      <c r="P7" s="291" t="s">
        <v>254</v>
      </c>
      <c r="Q7" s="291" t="s">
        <v>410</v>
      </c>
      <c r="R7" s="285" t="s">
        <v>411</v>
      </c>
      <c r="S7" s="285" t="s">
        <v>412</v>
      </c>
      <c r="T7" s="283" t="s">
        <v>265</v>
      </c>
      <c r="U7" s="286"/>
      <c r="V7" s="286"/>
      <c r="W7" s="286"/>
    </row>
    <row r="8" spans="1:23" ht="33" customHeight="1" thickTop="1" thickBot="1" x14ac:dyDescent="0.3">
      <c r="A8" s="283"/>
      <c r="B8" s="283"/>
      <c r="C8" s="283"/>
      <c r="D8" s="283"/>
      <c r="E8" s="283"/>
      <c r="F8" s="283"/>
      <c r="G8" s="178" t="s">
        <v>2</v>
      </c>
      <c r="H8" s="178" t="s">
        <v>3</v>
      </c>
      <c r="I8" s="283"/>
      <c r="J8" s="283"/>
      <c r="K8" s="284"/>
      <c r="L8" s="283"/>
      <c r="M8" s="178" t="s">
        <v>256</v>
      </c>
      <c r="N8" s="178" t="s">
        <v>255</v>
      </c>
      <c r="O8" s="283"/>
      <c r="P8" s="292"/>
      <c r="Q8" s="292"/>
      <c r="R8" s="287"/>
      <c r="S8" s="287"/>
      <c r="T8" s="283"/>
      <c r="U8" s="287"/>
      <c r="V8" s="287"/>
      <c r="W8" s="287"/>
    </row>
    <row r="9" spans="1:23" ht="16.5" thickTop="1" thickBot="1" x14ac:dyDescent="0.3">
      <c r="A9" s="74">
        <v>1</v>
      </c>
      <c r="B9" s="74">
        <v>2</v>
      </c>
      <c r="C9" s="74">
        <v>3</v>
      </c>
      <c r="D9" s="74">
        <v>4</v>
      </c>
      <c r="E9" s="74">
        <v>5</v>
      </c>
      <c r="F9" s="74">
        <v>6</v>
      </c>
      <c r="G9" s="74">
        <v>7</v>
      </c>
      <c r="H9" s="74">
        <v>8</v>
      </c>
      <c r="I9" s="74">
        <v>9</v>
      </c>
      <c r="J9" s="74">
        <v>10</v>
      </c>
      <c r="K9" s="74">
        <v>11</v>
      </c>
      <c r="L9" s="74">
        <v>12</v>
      </c>
      <c r="M9" s="74">
        <v>13</v>
      </c>
      <c r="N9" s="74">
        <v>14</v>
      </c>
      <c r="O9" s="74">
        <v>15</v>
      </c>
      <c r="P9" s="74">
        <v>16</v>
      </c>
      <c r="Q9" s="74">
        <v>17</v>
      </c>
      <c r="R9" s="74">
        <v>18</v>
      </c>
      <c r="S9" s="74">
        <v>19</v>
      </c>
      <c r="T9" s="74">
        <v>20</v>
      </c>
      <c r="U9" s="74">
        <v>21</v>
      </c>
      <c r="V9" s="74">
        <v>20</v>
      </c>
      <c r="W9" s="74">
        <v>21</v>
      </c>
    </row>
    <row r="10" spans="1:23" ht="15.75" thickTop="1" x14ac:dyDescent="0.25">
      <c r="A10" s="153">
        <v>1</v>
      </c>
      <c r="B10" s="22" t="s">
        <v>449</v>
      </c>
      <c r="C10" s="222" t="s">
        <v>852</v>
      </c>
      <c r="D10" s="5" t="s">
        <v>450</v>
      </c>
      <c r="E10" s="7">
        <v>1</v>
      </c>
      <c r="F10" s="15">
        <v>0</v>
      </c>
      <c r="G10" s="7"/>
      <c r="H10" s="15">
        <v>90756.18</v>
      </c>
      <c r="I10" s="7"/>
      <c r="J10" s="5"/>
      <c r="K10" s="15">
        <f>+F10+H10</f>
        <v>90756.18</v>
      </c>
      <c r="L10" s="7">
        <v>12</v>
      </c>
      <c r="M10" s="80">
        <v>0</v>
      </c>
      <c r="N10" s="18">
        <v>0</v>
      </c>
      <c r="O10" s="15">
        <v>0</v>
      </c>
      <c r="P10" s="17">
        <v>0</v>
      </c>
      <c r="Q10" s="17"/>
      <c r="R10" s="17"/>
      <c r="S10" s="17">
        <v>0</v>
      </c>
      <c r="T10" s="15">
        <f>+O10+P10+Q10+S10</f>
        <v>0</v>
      </c>
      <c r="U10" s="58">
        <f>+K10-Q10-S10</f>
        <v>90756.18</v>
      </c>
      <c r="V10" s="82"/>
      <c r="W10" s="75">
        <f>+K10-O10-P10-V10</f>
        <v>90756.18</v>
      </c>
    </row>
    <row r="11" spans="1:23" x14ac:dyDescent="0.25">
      <c r="A11" s="56"/>
      <c r="B11" s="22"/>
      <c r="C11" s="22"/>
      <c r="D11" s="5"/>
      <c r="E11" s="7"/>
      <c r="F11" s="15"/>
      <c r="G11" s="7"/>
      <c r="H11" s="7"/>
      <c r="I11" s="7"/>
      <c r="J11" s="5"/>
      <c r="K11" s="15"/>
      <c r="L11" s="7"/>
      <c r="M11" s="80"/>
      <c r="N11" s="18"/>
      <c r="O11" s="15"/>
      <c r="P11" s="17"/>
      <c r="Q11" s="17"/>
      <c r="R11" s="17"/>
      <c r="S11" s="17"/>
      <c r="T11" s="15"/>
      <c r="U11" s="58"/>
      <c r="V11" s="82"/>
      <c r="W11" s="75"/>
    </row>
    <row r="12" spans="1:23" x14ac:dyDescent="0.25">
      <c r="A12" s="56"/>
      <c r="B12" s="22"/>
      <c r="C12" s="22"/>
      <c r="D12" s="5"/>
      <c r="E12" s="7"/>
      <c r="F12" s="15"/>
      <c r="G12" s="7"/>
      <c r="H12" s="7"/>
      <c r="I12" s="7"/>
      <c r="J12" s="5"/>
      <c r="K12" s="15"/>
      <c r="L12" s="7"/>
      <c r="M12" s="80"/>
      <c r="N12" s="18"/>
      <c r="O12" s="15"/>
      <c r="P12" s="17"/>
      <c r="Q12" s="17"/>
      <c r="R12" s="17"/>
      <c r="S12" s="17"/>
      <c r="T12" s="15"/>
      <c r="U12" s="58"/>
      <c r="V12" s="82"/>
      <c r="W12" s="75"/>
    </row>
    <row r="13" spans="1:23" x14ac:dyDescent="0.25">
      <c r="A13" s="56"/>
      <c r="B13" s="22"/>
      <c r="C13" s="22"/>
      <c r="D13" s="5"/>
      <c r="E13" s="7"/>
      <c r="F13" s="15"/>
      <c r="G13" s="7"/>
      <c r="H13" s="7"/>
      <c r="I13" s="7"/>
      <c r="J13" s="5"/>
      <c r="K13" s="15"/>
      <c r="L13" s="7"/>
      <c r="M13" s="80"/>
      <c r="N13" s="18"/>
      <c r="O13" s="15"/>
      <c r="P13" s="17"/>
      <c r="Q13" s="17"/>
      <c r="R13" s="17"/>
      <c r="S13" s="17"/>
      <c r="T13" s="15"/>
      <c r="U13" s="58"/>
      <c r="V13" s="78"/>
      <c r="W13" s="75"/>
    </row>
    <row r="14" spans="1:23" x14ac:dyDescent="0.25">
      <c r="A14" s="56"/>
      <c r="B14" s="22"/>
      <c r="C14" s="22"/>
      <c r="D14" s="7"/>
      <c r="E14" s="7"/>
      <c r="F14" s="15"/>
      <c r="G14" s="7"/>
      <c r="H14" s="7"/>
      <c r="I14" s="7"/>
      <c r="J14" s="5"/>
      <c r="K14" s="15"/>
      <c r="L14" s="7"/>
      <c r="M14" s="80"/>
      <c r="N14" s="18"/>
      <c r="O14" s="15"/>
      <c r="P14" s="17"/>
      <c r="Q14" s="17"/>
      <c r="R14" s="17"/>
      <c r="S14" s="17"/>
      <c r="T14" s="15"/>
      <c r="U14" s="58"/>
      <c r="V14" s="78"/>
      <c r="W14" s="75"/>
    </row>
    <row r="15" spans="1:23" x14ac:dyDescent="0.25">
      <c r="A15" s="56"/>
      <c r="B15" s="22"/>
      <c r="C15" s="22"/>
      <c r="D15" s="7"/>
      <c r="E15" s="7"/>
      <c r="F15" s="15"/>
      <c r="G15" s="7"/>
      <c r="H15" s="7"/>
      <c r="I15" s="7"/>
      <c r="J15" s="5"/>
      <c r="K15" s="15"/>
      <c r="L15" s="7"/>
      <c r="M15" s="80"/>
      <c r="N15" s="18"/>
      <c r="O15" s="15"/>
      <c r="P15" s="17"/>
      <c r="Q15" s="17"/>
      <c r="R15" s="17"/>
      <c r="S15" s="17"/>
      <c r="T15" s="15"/>
      <c r="U15" s="58"/>
      <c r="V15" s="78"/>
      <c r="W15" s="75"/>
    </row>
    <row r="16" spans="1:23" x14ac:dyDescent="0.25">
      <c r="A16" s="56"/>
      <c r="B16" s="22"/>
      <c r="C16" s="22"/>
      <c r="D16" s="7"/>
      <c r="E16" s="7"/>
      <c r="F16" s="15"/>
      <c r="G16" s="7"/>
      <c r="H16" s="7"/>
      <c r="I16" s="7"/>
      <c r="J16" s="5"/>
      <c r="K16" s="15"/>
      <c r="L16" s="7"/>
      <c r="M16" s="80"/>
      <c r="N16" s="18"/>
      <c r="O16" s="17"/>
      <c r="P16" s="17"/>
      <c r="Q16" s="17"/>
      <c r="R16" s="17"/>
      <c r="S16" s="17"/>
      <c r="T16" s="15"/>
      <c r="U16" s="58"/>
      <c r="V16" s="78"/>
      <c r="W16" s="75"/>
    </row>
    <row r="17" spans="1:25" x14ac:dyDescent="0.25">
      <c r="A17" s="56"/>
      <c r="B17" s="22"/>
      <c r="C17" s="22"/>
      <c r="D17" s="7"/>
      <c r="E17" s="7"/>
      <c r="F17" s="15"/>
      <c r="G17" s="7"/>
      <c r="H17" s="7"/>
      <c r="I17" s="7"/>
      <c r="J17" s="5"/>
      <c r="K17" s="15"/>
      <c r="L17" s="7"/>
      <c r="M17" s="80"/>
      <c r="N17" s="18"/>
      <c r="O17" s="17"/>
      <c r="P17" s="17"/>
      <c r="Q17" s="17"/>
      <c r="R17" s="17"/>
      <c r="S17" s="17"/>
      <c r="T17" s="15"/>
      <c r="U17" s="58"/>
      <c r="V17" s="78"/>
      <c r="W17" s="75"/>
    </row>
    <row r="18" spans="1:25" s="25" customFormat="1" x14ac:dyDescent="0.25">
      <c r="A18" s="56"/>
      <c r="B18" s="22"/>
      <c r="C18" s="22"/>
      <c r="D18" s="7"/>
      <c r="E18" s="7"/>
      <c r="F18" s="15"/>
      <c r="G18" s="7"/>
      <c r="H18" s="7"/>
      <c r="I18" s="7"/>
      <c r="J18" s="5"/>
      <c r="K18" s="15"/>
      <c r="L18" s="7"/>
      <c r="M18" s="18"/>
      <c r="N18" s="18"/>
      <c r="O18" s="17"/>
      <c r="P18" s="17"/>
      <c r="Q18" s="17"/>
      <c r="R18" s="17"/>
      <c r="S18" s="17"/>
      <c r="T18" s="15"/>
      <c r="U18" s="58"/>
      <c r="V18" s="102"/>
      <c r="W18" s="103"/>
      <c r="X18" s="68"/>
      <c r="Y18" s="68"/>
    </row>
    <row r="19" spans="1:25" ht="15.75" thickBot="1" x14ac:dyDescent="0.3">
      <c r="A19" s="56"/>
      <c r="B19" s="22"/>
      <c r="C19" s="22"/>
      <c r="D19" s="7"/>
      <c r="E19" s="7"/>
      <c r="F19" s="15">
        <v>0</v>
      </c>
      <c r="G19" s="7"/>
      <c r="H19" s="17"/>
      <c r="I19" s="7"/>
      <c r="J19" s="5"/>
      <c r="K19" s="15">
        <f t="shared" ref="K19" si="0">+F19+H19</f>
        <v>0</v>
      </c>
      <c r="L19" s="7"/>
      <c r="M19" s="18"/>
      <c r="N19" s="19"/>
      <c r="O19" s="15"/>
      <c r="P19" s="17"/>
      <c r="Q19" s="17"/>
      <c r="R19" s="17"/>
      <c r="S19" s="17"/>
      <c r="T19" s="15">
        <f t="shared" ref="T19" si="1">+O19+P19+Q19+S19</f>
        <v>0</v>
      </c>
      <c r="U19" s="57"/>
      <c r="V19" s="85">
        <f t="shared" ref="V19" si="2">+R19*9</f>
        <v>0</v>
      </c>
      <c r="W19" s="88">
        <f t="shared" ref="W19" si="3">+F19-O19-P19-V19</f>
        <v>0</v>
      </c>
    </row>
    <row r="20" spans="1:25" ht="16.5" thickTop="1" thickBot="1" x14ac:dyDescent="0.3">
      <c r="A20" s="298" t="s">
        <v>12</v>
      </c>
      <c r="B20" s="298"/>
      <c r="C20" s="298"/>
      <c r="D20" s="298"/>
      <c r="E20" s="298"/>
      <c r="F20" s="117">
        <f t="shared" ref="F20:K20" si="4">SUM(F10:F19)</f>
        <v>0</v>
      </c>
      <c r="G20" s="117">
        <f t="shared" si="4"/>
        <v>0</v>
      </c>
      <c r="H20" s="117">
        <f t="shared" si="4"/>
        <v>90756.18</v>
      </c>
      <c r="I20" s="117">
        <f t="shared" si="4"/>
        <v>0</v>
      </c>
      <c r="J20" s="117">
        <f t="shared" si="4"/>
        <v>0</v>
      </c>
      <c r="K20" s="124">
        <f t="shared" si="4"/>
        <v>90756.18</v>
      </c>
      <c r="L20" s="118"/>
      <c r="M20" s="118"/>
      <c r="N20" s="118"/>
      <c r="O20" s="117">
        <f t="shared" ref="O20:W20" si="5">SUM(O10:O19)</f>
        <v>0</v>
      </c>
      <c r="P20" s="117">
        <f t="shared" si="5"/>
        <v>0</v>
      </c>
      <c r="Q20" s="117">
        <f t="shared" si="5"/>
        <v>0</v>
      </c>
      <c r="R20" s="117">
        <f t="shared" si="5"/>
        <v>0</v>
      </c>
      <c r="S20" s="124">
        <f t="shared" si="5"/>
        <v>0</v>
      </c>
      <c r="T20" s="124">
        <f t="shared" si="5"/>
        <v>0</v>
      </c>
      <c r="U20" s="124">
        <f t="shared" si="5"/>
        <v>90756.18</v>
      </c>
      <c r="V20" s="117">
        <f t="shared" si="5"/>
        <v>0</v>
      </c>
      <c r="W20" s="117">
        <f t="shared" si="5"/>
        <v>90756.18</v>
      </c>
    </row>
    <row r="21" spans="1:25" ht="16.5" thickTop="1" thickBot="1" x14ac:dyDescent="0.3">
      <c r="A21" s="296" t="s">
        <v>341</v>
      </c>
      <c r="B21" s="297"/>
      <c r="C21" s="297"/>
      <c r="D21" s="297"/>
      <c r="E21" s="297"/>
      <c r="F21" s="121">
        <f>+F20</f>
        <v>0</v>
      </c>
      <c r="G21" s="121"/>
      <c r="H21" s="121">
        <f>+H20</f>
        <v>90756.18</v>
      </c>
      <c r="I21" s="121"/>
      <c r="J21" s="121">
        <f>SUM(J20)</f>
        <v>0</v>
      </c>
      <c r="K21" s="121">
        <f>+K20</f>
        <v>90756.18</v>
      </c>
      <c r="L21" s="119"/>
      <c r="M21" s="119"/>
      <c r="N21" s="119"/>
      <c r="O21" s="121">
        <f>O20</f>
        <v>0</v>
      </c>
      <c r="P21" s="121">
        <f>P20</f>
        <v>0</v>
      </c>
      <c r="Q21" s="121"/>
      <c r="R21" s="121"/>
      <c r="S21" s="121"/>
      <c r="T21" s="121">
        <f>+T20</f>
        <v>0</v>
      </c>
      <c r="U21" s="120">
        <f>+U20</f>
        <v>90756.18</v>
      </c>
    </row>
    <row r="22" spans="1:25" ht="16.5" thickTop="1" thickBot="1" x14ac:dyDescent="0.3">
      <c r="A22" s="293" t="s">
        <v>291</v>
      </c>
      <c r="B22" s="294"/>
      <c r="C22" s="294"/>
      <c r="D22" s="294"/>
      <c r="E22" s="295"/>
      <c r="F22" s="116">
        <f>+F20-F21</f>
        <v>0</v>
      </c>
      <c r="G22" s="122"/>
      <c r="H22" s="123">
        <f>+H20-H21</f>
        <v>0</v>
      </c>
      <c r="I22" s="122"/>
      <c r="J22" s="122"/>
      <c r="K22" s="116">
        <f>+K20-K21</f>
        <v>0</v>
      </c>
      <c r="L22" s="288"/>
      <c r="M22" s="289"/>
      <c r="N22" s="290"/>
      <c r="O22" s="116">
        <f>+O20-O21</f>
        <v>0</v>
      </c>
      <c r="P22" s="116">
        <f>+P20-P21</f>
        <v>0</v>
      </c>
      <c r="Q22" s="116"/>
      <c r="R22" s="122"/>
      <c r="S22" s="122"/>
      <c r="T22" s="116">
        <f>+T20-T21</f>
        <v>0</v>
      </c>
      <c r="U22" s="116">
        <f>+U20-U21</f>
        <v>0</v>
      </c>
      <c r="W22" s="15"/>
    </row>
    <row r="23" spans="1:25" ht="15.75" thickTop="1" x14ac:dyDescent="0.25">
      <c r="P23" s="15"/>
      <c r="Q23" s="15"/>
      <c r="U23" s="15"/>
      <c r="W23" s="15"/>
    </row>
    <row r="24" spans="1:25" x14ac:dyDescent="0.25">
      <c r="P24" s="15"/>
      <c r="Q24" s="15"/>
      <c r="T24" s="15"/>
      <c r="U24" s="15"/>
    </row>
    <row r="25" spans="1:25" x14ac:dyDescent="0.25">
      <c r="U25" s="15"/>
    </row>
    <row r="26" spans="1:25" ht="33.75" hidden="1" customHeight="1" x14ac:dyDescent="0.25">
      <c r="E26" s="125" t="s">
        <v>451</v>
      </c>
      <c r="Q26" s="15"/>
    </row>
    <row r="27" spans="1:25" hidden="1" x14ac:dyDescent="0.25">
      <c r="D27" s="65" t="s">
        <v>339</v>
      </c>
      <c r="E27" s="15">
        <v>90756.18</v>
      </c>
      <c r="O27" s="15"/>
      <c r="P27" s="15"/>
      <c r="Q27" s="15"/>
    </row>
    <row r="28" spans="1:25" hidden="1" x14ac:dyDescent="0.25">
      <c r="D28" s="65" t="s">
        <v>462</v>
      </c>
      <c r="E28" s="15">
        <v>0</v>
      </c>
      <c r="O28" s="15"/>
      <c r="P28" s="15"/>
      <c r="Q28" s="15"/>
    </row>
    <row r="29" spans="1:25" hidden="1" x14ac:dyDescent="0.25">
      <c r="D29" s="179" t="s">
        <v>457</v>
      </c>
      <c r="E29" s="15">
        <f>+S20</f>
        <v>0</v>
      </c>
      <c r="O29" s="148"/>
      <c r="P29" s="148"/>
      <c r="Q29" s="148"/>
    </row>
    <row r="30" spans="1:25" hidden="1" x14ac:dyDescent="0.25">
      <c r="D30" s="186" t="s">
        <v>454</v>
      </c>
      <c r="E30" s="143">
        <f>+E27-E28-E29-U20</f>
        <v>0</v>
      </c>
    </row>
    <row r="31" spans="1:25" hidden="1" x14ac:dyDescent="0.25"/>
    <row r="32" spans="1:25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</sheetData>
  <mergeCells count="28">
    <mergeCell ref="A20:E20"/>
    <mergeCell ref="A21:E21"/>
    <mergeCell ref="A22:E22"/>
    <mergeCell ref="L22:N22"/>
    <mergeCell ref="W6:W8"/>
    <mergeCell ref="O7:O8"/>
    <mergeCell ref="P7:P8"/>
    <mergeCell ref="Q7:Q8"/>
    <mergeCell ref="R7:R8"/>
    <mergeCell ref="S7:S8"/>
    <mergeCell ref="T7:T8"/>
    <mergeCell ref="K6:K8"/>
    <mergeCell ref="L6:L8"/>
    <mergeCell ref="M6:N7"/>
    <mergeCell ref="O6:T6"/>
    <mergeCell ref="U6:U8"/>
    <mergeCell ref="V6:V8"/>
    <mergeCell ref="A3:U3"/>
    <mergeCell ref="A4:U4"/>
    <mergeCell ref="A6:A8"/>
    <mergeCell ref="B6:B8"/>
    <mergeCell ref="D6:D8"/>
    <mergeCell ref="E6:E8"/>
    <mergeCell ref="F6:F8"/>
    <mergeCell ref="G6:H7"/>
    <mergeCell ref="I6:I8"/>
    <mergeCell ref="J6:J8"/>
    <mergeCell ref="C6:C8"/>
  </mergeCells>
  <pageMargins left="0.25" right="0.25" top="0.75" bottom="0.75" header="0.3" footer="0.3"/>
  <pageSetup paperSize="9" scale="55" fitToHeight="0" orientation="landscape" r:id="rId1"/>
  <legacy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82B3A5-82C5-47AF-A1C2-BD08DEDD7219}">
  <sheetPr>
    <tabColor rgb="FF00B0F0"/>
    <pageSetUpPr fitToPage="1"/>
  </sheetPr>
  <dimension ref="A1:Y54"/>
  <sheetViews>
    <sheetView topLeftCell="E17" zoomScaleNormal="100" workbookViewId="0">
      <selection activeCell="H40" sqref="H40"/>
    </sheetView>
  </sheetViews>
  <sheetFormatPr defaultColWidth="9.140625" defaultRowHeight="15" x14ac:dyDescent="0.25"/>
  <cols>
    <col min="1" max="1" width="5.7109375" style="2" customWidth="1"/>
    <col min="2" max="2" width="7.28515625" style="2" customWidth="1"/>
    <col min="3" max="3" width="15" style="2" bestFit="1" customWidth="1"/>
    <col min="4" max="4" width="47" style="2" bestFit="1" customWidth="1"/>
    <col min="5" max="5" width="27.5703125" style="2" bestFit="1" customWidth="1"/>
    <col min="6" max="6" width="12.85546875" style="2" customWidth="1"/>
    <col min="7" max="7" width="8.42578125" style="2" customWidth="1"/>
    <col min="8" max="8" width="29.28515625" style="2" bestFit="1" customWidth="1"/>
    <col min="9" max="9" width="7.42578125" style="2" customWidth="1"/>
    <col min="10" max="10" width="13.85546875" style="2" customWidth="1"/>
    <col min="11" max="11" width="14.42578125" style="2" customWidth="1"/>
    <col min="12" max="12" width="11.28515625" style="2" customWidth="1"/>
    <col min="13" max="13" width="8.42578125" style="2" customWidth="1"/>
    <col min="14" max="14" width="8.140625" style="2" customWidth="1"/>
    <col min="15" max="18" width="12.7109375" style="2" customWidth="1"/>
    <col min="19" max="19" width="14.42578125" style="2" customWidth="1"/>
    <col min="20" max="20" width="13.42578125" style="2" customWidth="1"/>
    <col min="21" max="21" width="14.85546875" style="2" customWidth="1"/>
    <col min="22" max="22" width="12.5703125" style="2" customWidth="1"/>
    <col min="23" max="23" width="12" style="2" hidden="1" customWidth="1"/>
    <col min="24" max="24" width="11.7109375" style="2" hidden="1" customWidth="1"/>
    <col min="25" max="26" width="10.85546875" style="2" bestFit="1" customWidth="1"/>
    <col min="27" max="16384" width="9.140625" style="2"/>
  </cols>
  <sheetData>
    <row r="1" spans="1:25" x14ac:dyDescent="0.25">
      <c r="A1" s="113" t="s">
        <v>359</v>
      </c>
    </row>
    <row r="3" spans="1:25" x14ac:dyDescent="0.25">
      <c r="A3" s="299" t="s">
        <v>864</v>
      </c>
      <c r="B3" s="299"/>
      <c r="C3" s="299"/>
      <c r="D3" s="299"/>
      <c r="E3" s="299"/>
      <c r="F3" s="299"/>
      <c r="G3" s="299"/>
      <c r="H3" s="299"/>
      <c r="I3" s="299"/>
      <c r="J3" s="299"/>
      <c r="K3" s="299"/>
      <c r="L3" s="299"/>
      <c r="M3" s="299"/>
      <c r="N3" s="299"/>
      <c r="O3" s="299"/>
      <c r="P3" s="299"/>
      <c r="Q3" s="299"/>
      <c r="R3" s="299"/>
      <c r="S3" s="299"/>
      <c r="T3" s="299"/>
      <c r="U3" s="299"/>
      <c r="V3" s="299"/>
    </row>
    <row r="4" spans="1:25" x14ac:dyDescent="0.25">
      <c r="A4" s="300" t="s">
        <v>379</v>
      </c>
      <c r="B4" s="300"/>
      <c r="C4" s="300"/>
      <c r="D4" s="300"/>
      <c r="E4" s="300"/>
      <c r="F4" s="300"/>
      <c r="G4" s="300"/>
      <c r="H4" s="300"/>
      <c r="I4" s="300"/>
      <c r="J4" s="300"/>
      <c r="K4" s="300"/>
      <c r="L4" s="300"/>
      <c r="M4" s="300"/>
      <c r="N4" s="300"/>
      <c r="O4" s="300"/>
      <c r="P4" s="300"/>
      <c r="Q4" s="300"/>
      <c r="R4" s="300"/>
      <c r="S4" s="300"/>
      <c r="T4" s="300"/>
      <c r="U4" s="300"/>
      <c r="V4" s="300"/>
    </row>
    <row r="5" spans="1:25" ht="15.75" thickBot="1" x14ac:dyDescent="0.3">
      <c r="A5" s="71"/>
    </row>
    <row r="6" spans="1:25" ht="16.5" customHeight="1" thickTop="1" thickBot="1" x14ac:dyDescent="0.3">
      <c r="A6" s="283" t="s">
        <v>0</v>
      </c>
      <c r="B6" s="283" t="s">
        <v>332</v>
      </c>
      <c r="C6" s="283" t="s">
        <v>524</v>
      </c>
      <c r="D6" s="283" t="s">
        <v>1</v>
      </c>
      <c r="E6" s="283" t="s">
        <v>7</v>
      </c>
      <c r="F6" s="283" t="s">
        <v>878</v>
      </c>
      <c r="G6" s="284" t="s">
        <v>881</v>
      </c>
      <c r="H6" s="284"/>
      <c r="I6" s="283" t="s">
        <v>18</v>
      </c>
      <c r="J6" s="283" t="s">
        <v>19</v>
      </c>
      <c r="K6" s="284" t="s">
        <v>408</v>
      </c>
      <c r="L6" s="283" t="s">
        <v>4</v>
      </c>
      <c r="M6" s="283" t="s">
        <v>5</v>
      </c>
      <c r="N6" s="283"/>
      <c r="O6" s="283" t="s">
        <v>8</v>
      </c>
      <c r="P6" s="283"/>
      <c r="Q6" s="283"/>
      <c r="R6" s="283"/>
      <c r="S6" s="283"/>
      <c r="T6" s="283"/>
      <c r="U6" s="283"/>
      <c r="V6" s="285" t="s">
        <v>868</v>
      </c>
      <c r="W6" s="285" t="s">
        <v>260</v>
      </c>
      <c r="X6" s="285" t="s">
        <v>261</v>
      </c>
    </row>
    <row r="7" spans="1:25" ht="25.5" customHeight="1" thickTop="1" thickBot="1" x14ac:dyDescent="0.3">
      <c r="A7" s="283"/>
      <c r="B7" s="283"/>
      <c r="C7" s="283"/>
      <c r="D7" s="283"/>
      <c r="E7" s="283"/>
      <c r="F7" s="283"/>
      <c r="G7" s="284"/>
      <c r="H7" s="284"/>
      <c r="I7" s="283"/>
      <c r="J7" s="283"/>
      <c r="K7" s="284"/>
      <c r="L7" s="283"/>
      <c r="M7" s="283"/>
      <c r="N7" s="283"/>
      <c r="O7" s="283" t="s">
        <v>6</v>
      </c>
      <c r="P7" s="291" t="s">
        <v>254</v>
      </c>
      <c r="Q7" s="291" t="s">
        <v>410</v>
      </c>
      <c r="R7" s="291" t="s">
        <v>865</v>
      </c>
      <c r="S7" s="285" t="s">
        <v>866</v>
      </c>
      <c r="T7" s="285" t="s">
        <v>867</v>
      </c>
      <c r="U7" s="283" t="s">
        <v>265</v>
      </c>
      <c r="V7" s="286"/>
      <c r="W7" s="286"/>
      <c r="X7" s="286"/>
    </row>
    <row r="8" spans="1:25" ht="31.5" customHeight="1" thickTop="1" thickBot="1" x14ac:dyDescent="0.3">
      <c r="A8" s="283"/>
      <c r="B8" s="283"/>
      <c r="C8" s="283"/>
      <c r="D8" s="283"/>
      <c r="E8" s="283"/>
      <c r="F8" s="283"/>
      <c r="G8" s="154" t="s">
        <v>2</v>
      </c>
      <c r="H8" s="154" t="s">
        <v>3</v>
      </c>
      <c r="I8" s="283"/>
      <c r="J8" s="283"/>
      <c r="K8" s="284"/>
      <c r="L8" s="283"/>
      <c r="M8" s="154" t="s">
        <v>256</v>
      </c>
      <c r="N8" s="154" t="s">
        <v>255</v>
      </c>
      <c r="O8" s="283"/>
      <c r="P8" s="292"/>
      <c r="Q8" s="292"/>
      <c r="R8" s="292"/>
      <c r="S8" s="287"/>
      <c r="T8" s="287"/>
      <c r="U8" s="283"/>
      <c r="V8" s="287"/>
      <c r="W8" s="287"/>
      <c r="X8" s="287"/>
    </row>
    <row r="9" spans="1:25" ht="16.5" thickTop="1" thickBot="1" x14ac:dyDescent="0.3">
      <c r="A9" s="74">
        <v>1</v>
      </c>
      <c r="B9" s="74">
        <v>2</v>
      </c>
      <c r="C9" s="74">
        <v>3</v>
      </c>
      <c r="D9" s="74">
        <v>4</v>
      </c>
      <c r="E9" s="74">
        <v>5</v>
      </c>
      <c r="F9" s="74">
        <v>6</v>
      </c>
      <c r="G9" s="74">
        <v>7</v>
      </c>
      <c r="H9" s="74">
        <v>8</v>
      </c>
      <c r="I9" s="74">
        <v>9</v>
      </c>
      <c r="J9" s="74">
        <v>10</v>
      </c>
      <c r="K9" s="74">
        <v>11</v>
      </c>
      <c r="L9" s="74">
        <v>12</v>
      </c>
      <c r="M9" s="74">
        <v>13</v>
      </c>
      <c r="N9" s="74">
        <v>14</v>
      </c>
      <c r="O9" s="74">
        <v>15</v>
      </c>
      <c r="P9" s="74">
        <v>16</v>
      </c>
      <c r="Q9" s="74">
        <v>17</v>
      </c>
      <c r="R9" s="74">
        <v>18</v>
      </c>
      <c r="S9" s="74">
        <v>19</v>
      </c>
      <c r="T9" s="74">
        <v>20</v>
      </c>
      <c r="U9" s="74">
        <v>21</v>
      </c>
      <c r="V9" s="74">
        <v>22</v>
      </c>
      <c r="W9" s="74">
        <v>20</v>
      </c>
      <c r="X9" s="74">
        <v>21</v>
      </c>
      <c r="Y9" s="15"/>
    </row>
    <row r="10" spans="1:25" ht="15.75" thickTop="1" x14ac:dyDescent="0.25">
      <c r="A10" s="153">
        <v>1</v>
      </c>
      <c r="B10" s="22" t="s">
        <v>385</v>
      </c>
      <c r="C10" s="223" t="s">
        <v>818</v>
      </c>
      <c r="D10" s="7" t="s">
        <v>196</v>
      </c>
      <c r="E10" s="7">
        <v>1</v>
      </c>
      <c r="F10" s="128">
        <v>0</v>
      </c>
      <c r="G10" s="7"/>
      <c r="H10" s="7"/>
      <c r="I10" s="7"/>
      <c r="J10" s="5"/>
      <c r="K10" s="128">
        <f t="shared" ref="K10:K21" si="0">+F10+H10</f>
        <v>0</v>
      </c>
      <c r="L10" s="7">
        <v>12</v>
      </c>
      <c r="M10" s="80">
        <v>0.125</v>
      </c>
      <c r="N10" s="18">
        <v>0.5</v>
      </c>
      <c r="O10" s="128">
        <v>10699.8</v>
      </c>
      <c r="P10" s="17">
        <v>2815.2</v>
      </c>
      <c r="Q10" s="128">
        <v>0</v>
      </c>
      <c r="R10" s="17">
        <v>0</v>
      </c>
      <c r="S10" s="128">
        <f t="shared" ref="S10:S21" si="1">+T10/12</f>
        <v>0</v>
      </c>
      <c r="T10" s="17">
        <v>0</v>
      </c>
      <c r="U10" s="17">
        <f>+O10+P10+Q10+T10</f>
        <v>13515</v>
      </c>
      <c r="V10" s="57">
        <f>+K10-Q10-T10</f>
        <v>0</v>
      </c>
      <c r="W10" s="78"/>
      <c r="X10" s="75">
        <f t="shared" ref="X10:X23" si="2">+F10-O10-P10-W10</f>
        <v>-13515</v>
      </c>
      <c r="Y10" s="15"/>
    </row>
    <row r="11" spans="1:25" x14ac:dyDescent="0.25">
      <c r="A11" s="153">
        <v>2</v>
      </c>
      <c r="B11" s="22" t="s">
        <v>385</v>
      </c>
      <c r="C11" s="223" t="s">
        <v>819</v>
      </c>
      <c r="D11" s="7" t="s">
        <v>197</v>
      </c>
      <c r="E11" s="7">
        <v>3</v>
      </c>
      <c r="F11" s="128">
        <v>0</v>
      </c>
      <c r="G11" s="7"/>
      <c r="H11" s="7"/>
      <c r="I11" s="7"/>
      <c r="J11" s="5"/>
      <c r="K11" s="128">
        <f t="shared" si="0"/>
        <v>0</v>
      </c>
      <c r="L11" s="7">
        <v>12</v>
      </c>
      <c r="M11" s="80">
        <v>0.125</v>
      </c>
      <c r="N11" s="18">
        <v>0.5</v>
      </c>
      <c r="O11" s="128">
        <v>19149.75</v>
      </c>
      <c r="P11" s="17">
        <v>6383.25</v>
      </c>
      <c r="Q11" s="128">
        <v>0</v>
      </c>
      <c r="R11" s="17">
        <v>0</v>
      </c>
      <c r="S11" s="128">
        <f t="shared" si="1"/>
        <v>0</v>
      </c>
      <c r="T11" s="17">
        <v>0</v>
      </c>
      <c r="U11" s="17">
        <f>+O11+P11+Q11+T11</f>
        <v>25533</v>
      </c>
      <c r="V11" s="57">
        <f>+K11-Q11-T11</f>
        <v>0</v>
      </c>
      <c r="W11" s="78"/>
      <c r="X11" s="75">
        <f t="shared" si="2"/>
        <v>-25533</v>
      </c>
      <c r="Y11" s="15"/>
    </row>
    <row r="12" spans="1:25" x14ac:dyDescent="0.25">
      <c r="A12" s="153">
        <v>3</v>
      </c>
      <c r="B12" s="22" t="s">
        <v>385</v>
      </c>
      <c r="C12" s="223" t="s">
        <v>820</v>
      </c>
      <c r="D12" s="7" t="s">
        <v>195</v>
      </c>
      <c r="E12" s="7">
        <v>3</v>
      </c>
      <c r="F12" s="128">
        <v>0</v>
      </c>
      <c r="G12" s="7"/>
      <c r="H12" s="7"/>
      <c r="I12" s="7"/>
      <c r="J12" s="5"/>
      <c r="K12" s="128">
        <f t="shared" si="0"/>
        <v>0</v>
      </c>
      <c r="L12" s="7">
        <v>12</v>
      </c>
      <c r="M12" s="80">
        <v>0.125</v>
      </c>
      <c r="N12" s="18">
        <v>0.5</v>
      </c>
      <c r="O12" s="129">
        <v>29548.17</v>
      </c>
      <c r="P12" s="26">
        <f>+'[1]CEDAR  031=2,90 '!O64+'[1]CEDAR  031=2,90 '!P64</f>
        <v>21105.83</v>
      </c>
      <c r="Q12" s="129">
        <v>0</v>
      </c>
      <c r="R12" s="26">
        <v>0</v>
      </c>
      <c r="S12" s="128">
        <f t="shared" si="1"/>
        <v>0</v>
      </c>
      <c r="T12" s="17">
        <v>0</v>
      </c>
      <c r="U12" s="17">
        <f t="shared" ref="U12:U40" si="3">+O12+P12+Q12+T12</f>
        <v>50654</v>
      </c>
      <c r="V12" s="57">
        <f t="shared" ref="V12:V16" si="4">+K12-Q12-T12</f>
        <v>0</v>
      </c>
      <c r="W12" s="78">
        <f t="shared" ref="W12:W23" si="5">+S12*9</f>
        <v>0</v>
      </c>
      <c r="X12" s="75">
        <f t="shared" si="2"/>
        <v>-50654</v>
      </c>
      <c r="Y12" s="15"/>
    </row>
    <row r="13" spans="1:25" x14ac:dyDescent="0.25">
      <c r="A13" s="153">
        <v>4</v>
      </c>
      <c r="B13" s="22" t="s">
        <v>385</v>
      </c>
      <c r="C13" s="223" t="s">
        <v>821</v>
      </c>
      <c r="D13" s="7" t="s">
        <v>199</v>
      </c>
      <c r="E13" s="7">
        <v>2</v>
      </c>
      <c r="F13" s="128">
        <v>0</v>
      </c>
      <c r="G13" s="7"/>
      <c r="H13" s="7"/>
      <c r="I13" s="7"/>
      <c r="J13" s="5"/>
      <c r="K13" s="128">
        <f t="shared" si="0"/>
        <v>0</v>
      </c>
      <c r="L13" s="7">
        <v>12</v>
      </c>
      <c r="M13" s="80">
        <v>0.125</v>
      </c>
      <c r="N13" s="18">
        <v>0.5</v>
      </c>
      <c r="O13" s="129">
        <v>9251.5</v>
      </c>
      <c r="P13" s="26">
        <f>+'[1]CEDAR  031=2,90 '!O65+'[1]CEDAR  031=2,90 '!P65</f>
        <v>9251.5</v>
      </c>
      <c r="Q13" s="129">
        <v>0</v>
      </c>
      <c r="R13" s="26">
        <v>0</v>
      </c>
      <c r="S13" s="128">
        <f t="shared" si="1"/>
        <v>0</v>
      </c>
      <c r="T13" s="17">
        <v>0</v>
      </c>
      <c r="U13" s="17">
        <f t="shared" si="3"/>
        <v>18503</v>
      </c>
      <c r="V13" s="57">
        <f t="shared" si="4"/>
        <v>0</v>
      </c>
      <c r="W13" s="78">
        <f t="shared" si="5"/>
        <v>0</v>
      </c>
      <c r="X13" s="75">
        <f t="shared" si="2"/>
        <v>-18503</v>
      </c>
      <c r="Y13" s="15"/>
    </row>
    <row r="14" spans="1:25" x14ac:dyDescent="0.25">
      <c r="A14" s="153">
        <v>5</v>
      </c>
      <c r="B14" s="22" t="s">
        <v>385</v>
      </c>
      <c r="C14" s="223" t="s">
        <v>822</v>
      </c>
      <c r="D14" s="7" t="s">
        <v>198</v>
      </c>
      <c r="E14" s="7">
        <v>1</v>
      </c>
      <c r="F14" s="128">
        <v>0</v>
      </c>
      <c r="G14" s="7"/>
      <c r="H14" s="17"/>
      <c r="I14" s="7"/>
      <c r="J14" s="5"/>
      <c r="K14" s="128">
        <f t="shared" si="0"/>
        <v>0</v>
      </c>
      <c r="L14" s="7">
        <v>12</v>
      </c>
      <c r="M14" s="80">
        <v>0.125</v>
      </c>
      <c r="N14" s="18">
        <v>0.5</v>
      </c>
      <c r="O14" s="129">
        <v>3005.5</v>
      </c>
      <c r="P14" s="26">
        <f>+'[1]CEDAR  031=2,90 '!O66+'[1]CEDAR  031=2,90 '!P66</f>
        <v>3005.5</v>
      </c>
      <c r="Q14" s="129">
        <v>0</v>
      </c>
      <c r="R14" s="26">
        <v>0</v>
      </c>
      <c r="S14" s="128">
        <f t="shared" si="1"/>
        <v>0</v>
      </c>
      <c r="T14" s="17">
        <v>0</v>
      </c>
      <c r="U14" s="17">
        <f t="shared" si="3"/>
        <v>6011</v>
      </c>
      <c r="V14" s="57">
        <f t="shared" si="4"/>
        <v>0</v>
      </c>
      <c r="W14" s="78">
        <f t="shared" si="5"/>
        <v>0</v>
      </c>
      <c r="X14" s="75">
        <f t="shared" si="2"/>
        <v>-6011</v>
      </c>
      <c r="Y14" s="15"/>
    </row>
    <row r="15" spans="1:25" x14ac:dyDescent="0.25">
      <c r="A15" s="153">
        <v>6</v>
      </c>
      <c r="B15" s="22" t="s">
        <v>385</v>
      </c>
      <c r="C15" s="223" t="s">
        <v>823</v>
      </c>
      <c r="D15" s="7" t="s">
        <v>200</v>
      </c>
      <c r="E15" s="7">
        <v>1</v>
      </c>
      <c r="F15" s="128">
        <v>0</v>
      </c>
      <c r="G15" s="7"/>
      <c r="H15" s="17"/>
      <c r="I15" s="7"/>
      <c r="J15" s="5"/>
      <c r="K15" s="128">
        <f t="shared" si="0"/>
        <v>0</v>
      </c>
      <c r="L15" s="7">
        <v>12</v>
      </c>
      <c r="M15" s="80">
        <v>0.125</v>
      </c>
      <c r="N15" s="18">
        <v>0.5</v>
      </c>
      <c r="O15" s="129">
        <v>3690.5</v>
      </c>
      <c r="P15" s="26">
        <f>+'[1]CEDAR  031=2,90 '!O67+'[1]CEDAR  031=2,90 '!P67</f>
        <v>3690.5</v>
      </c>
      <c r="Q15" s="129">
        <v>0</v>
      </c>
      <c r="R15" s="26">
        <v>0</v>
      </c>
      <c r="S15" s="128">
        <f t="shared" si="1"/>
        <v>0</v>
      </c>
      <c r="T15" s="17">
        <v>0</v>
      </c>
      <c r="U15" s="17">
        <f t="shared" si="3"/>
        <v>7381</v>
      </c>
      <c r="V15" s="57">
        <f t="shared" si="4"/>
        <v>0</v>
      </c>
      <c r="W15" s="78">
        <f t="shared" si="5"/>
        <v>0</v>
      </c>
      <c r="X15" s="75">
        <f t="shared" si="2"/>
        <v>-7381</v>
      </c>
      <c r="Y15" s="15"/>
    </row>
    <row r="16" spans="1:25" x14ac:dyDescent="0.25">
      <c r="A16" s="153">
        <v>7</v>
      </c>
      <c r="B16" s="22" t="s">
        <v>385</v>
      </c>
      <c r="C16" s="223" t="s">
        <v>824</v>
      </c>
      <c r="D16" s="7" t="s">
        <v>201</v>
      </c>
      <c r="E16" s="7">
        <v>4</v>
      </c>
      <c r="F16" s="128">
        <v>0</v>
      </c>
      <c r="G16" s="7"/>
      <c r="H16" s="17"/>
      <c r="I16" s="7"/>
      <c r="J16" s="5"/>
      <c r="K16" s="128">
        <f t="shared" si="0"/>
        <v>0</v>
      </c>
      <c r="L16" s="7">
        <v>12</v>
      </c>
      <c r="M16" s="80">
        <v>0.125</v>
      </c>
      <c r="N16" s="18">
        <v>0.5</v>
      </c>
      <c r="O16" s="129">
        <v>3283.02</v>
      </c>
      <c r="P16" s="26">
        <f>+'[1]CEDAR  031=2,90 '!O68+'[1]CEDAR  031=2,90 '!P68</f>
        <v>3283.02</v>
      </c>
      <c r="Q16" s="129">
        <v>0</v>
      </c>
      <c r="R16" s="26">
        <v>0</v>
      </c>
      <c r="S16" s="128">
        <f t="shared" si="1"/>
        <v>0</v>
      </c>
      <c r="T16" s="17">
        <v>0</v>
      </c>
      <c r="U16" s="17">
        <f t="shared" si="3"/>
        <v>6566.04</v>
      </c>
      <c r="V16" s="57">
        <f t="shared" si="4"/>
        <v>0</v>
      </c>
      <c r="W16" s="78">
        <f t="shared" si="5"/>
        <v>0</v>
      </c>
      <c r="X16" s="75">
        <f t="shared" si="2"/>
        <v>-6566.04</v>
      </c>
      <c r="Y16" s="15"/>
    </row>
    <row r="17" spans="1:25" x14ac:dyDescent="0.25">
      <c r="A17" s="153">
        <v>8</v>
      </c>
      <c r="B17" s="22" t="s">
        <v>385</v>
      </c>
      <c r="C17" s="223" t="s">
        <v>825</v>
      </c>
      <c r="D17" s="7" t="s">
        <v>355</v>
      </c>
      <c r="E17" s="7">
        <v>1</v>
      </c>
      <c r="F17" s="128">
        <v>3197</v>
      </c>
      <c r="G17" s="7"/>
      <c r="H17" s="17"/>
      <c r="I17" s="7"/>
      <c r="J17" s="5"/>
      <c r="K17" s="128">
        <f t="shared" si="0"/>
        <v>3197</v>
      </c>
      <c r="L17" s="7">
        <v>12</v>
      </c>
      <c r="M17" s="80">
        <v>0.14990000000000001</v>
      </c>
      <c r="N17" s="18">
        <v>0.5</v>
      </c>
      <c r="O17" s="129">
        <v>1598.5</v>
      </c>
      <c r="P17" s="26">
        <f>+'[1]CEDAR  031=2,90 '!O70+'[1]CEDAR  031=2,90 '!P70</f>
        <v>4795.5</v>
      </c>
      <c r="Q17" s="129">
        <v>1198.875</v>
      </c>
      <c r="R17" s="26">
        <v>479.2303</v>
      </c>
      <c r="S17" s="128">
        <f>+T17/12</f>
        <v>39.935858333333336</v>
      </c>
      <c r="T17" s="17">
        <f>+K17*M17</f>
        <v>479.2303</v>
      </c>
      <c r="U17" s="17">
        <f t="shared" si="3"/>
        <v>8072.1053000000002</v>
      </c>
      <c r="V17" s="57">
        <f>+K17-Q17-R17-T17</f>
        <v>1039.6644000000001</v>
      </c>
      <c r="W17" s="78">
        <f>+S17*9</f>
        <v>359.42272500000001</v>
      </c>
      <c r="X17" s="75">
        <f t="shared" si="2"/>
        <v>-3556.4227249999999</v>
      </c>
      <c r="Y17" s="15"/>
    </row>
    <row r="18" spans="1:25" x14ac:dyDescent="0.25">
      <c r="A18" s="153">
        <v>9</v>
      </c>
      <c r="B18" s="22" t="s">
        <v>385</v>
      </c>
      <c r="C18" s="223" t="s">
        <v>826</v>
      </c>
      <c r="D18" s="7" t="s">
        <v>380</v>
      </c>
      <c r="E18" s="7">
        <v>1</v>
      </c>
      <c r="F18" s="128">
        <v>11986.650000000001</v>
      </c>
      <c r="G18" s="7"/>
      <c r="H18" s="17"/>
      <c r="I18" s="7"/>
      <c r="J18" s="5"/>
      <c r="K18" s="128">
        <f t="shared" si="0"/>
        <v>11986.650000000001</v>
      </c>
      <c r="L18" s="7">
        <v>12</v>
      </c>
      <c r="M18" s="80">
        <v>0.14990000000000001</v>
      </c>
      <c r="N18" s="18">
        <v>0.5</v>
      </c>
      <c r="O18" s="129">
        <v>0</v>
      </c>
      <c r="P18" s="26">
        <f>+'[1]CEDAR  031=2,90 '!O72+'[1]CEDAR  031=2,90 '!P72</f>
        <v>11986.66</v>
      </c>
      <c r="Q18" s="129">
        <v>2996.6637500000002</v>
      </c>
      <c r="R18" s="26">
        <v>1796.7988350000003</v>
      </c>
      <c r="S18" s="128">
        <f t="shared" si="1"/>
        <v>149.73323625000003</v>
      </c>
      <c r="T18" s="17">
        <f t="shared" ref="T18:T22" si="6">+K18*M18</f>
        <v>1796.7988350000003</v>
      </c>
      <c r="U18" s="17">
        <f t="shared" si="3"/>
        <v>16780.122585000001</v>
      </c>
      <c r="V18" s="57">
        <f t="shared" ref="V18:V39" si="7">+K18-Q18-R18-T18</f>
        <v>5396.3885800000007</v>
      </c>
      <c r="W18" s="78">
        <f t="shared" si="5"/>
        <v>1347.5991262500004</v>
      </c>
      <c r="X18" s="75">
        <f t="shared" si="2"/>
        <v>-1347.6091262499988</v>
      </c>
      <c r="Y18" s="15"/>
    </row>
    <row r="19" spans="1:25" ht="15.75" thickBot="1" x14ac:dyDescent="0.3">
      <c r="A19" s="153">
        <v>10</v>
      </c>
      <c r="B19" s="22" t="s">
        <v>385</v>
      </c>
      <c r="C19" s="223" t="s">
        <v>827</v>
      </c>
      <c r="D19" s="7" t="s">
        <v>205</v>
      </c>
      <c r="E19" s="7">
        <v>1</v>
      </c>
      <c r="F19" s="128">
        <v>3401</v>
      </c>
      <c r="G19" s="7"/>
      <c r="H19" s="17"/>
      <c r="I19" s="7"/>
      <c r="J19" s="5"/>
      <c r="K19" s="128">
        <f t="shared" si="0"/>
        <v>3401</v>
      </c>
      <c r="L19" s="7">
        <v>12</v>
      </c>
      <c r="M19" s="80">
        <v>0.14990000000000001</v>
      </c>
      <c r="N19" s="18">
        <v>0.5</v>
      </c>
      <c r="O19" s="26">
        <v>0</v>
      </c>
      <c r="P19" s="26">
        <f>+'[1]CEDAR  031=2,90 '!O73+'[1]CEDAR  031=2,90 '!P73</f>
        <v>3401</v>
      </c>
      <c r="Q19" s="129">
        <v>850.25</v>
      </c>
      <c r="R19" s="26">
        <v>509.80990000000003</v>
      </c>
      <c r="S19" s="128">
        <f t="shared" si="1"/>
        <v>42.484158333333333</v>
      </c>
      <c r="T19" s="17">
        <f t="shared" si="6"/>
        <v>509.80990000000003</v>
      </c>
      <c r="U19" s="17">
        <f t="shared" si="3"/>
        <v>4761.0599000000002</v>
      </c>
      <c r="V19" s="57">
        <f t="shared" si="7"/>
        <v>1531.1302000000001</v>
      </c>
      <c r="W19" s="78">
        <f t="shared" si="5"/>
        <v>382.35742499999998</v>
      </c>
      <c r="X19" s="75">
        <f t="shared" si="2"/>
        <v>-382.35742499999998</v>
      </c>
      <c r="Y19" s="15"/>
    </row>
    <row r="20" spans="1:25" ht="15.75" thickTop="1" x14ac:dyDescent="0.25">
      <c r="A20" s="153">
        <v>11</v>
      </c>
      <c r="B20" s="22" t="s">
        <v>385</v>
      </c>
      <c r="C20" s="223" t="s">
        <v>828</v>
      </c>
      <c r="D20" s="7" t="s">
        <v>206</v>
      </c>
      <c r="E20" s="7">
        <v>1</v>
      </c>
      <c r="F20" s="17">
        <v>2980.12</v>
      </c>
      <c r="G20" s="7"/>
      <c r="H20" s="130"/>
      <c r="I20" s="7"/>
      <c r="J20" s="5"/>
      <c r="K20" s="128">
        <f t="shared" si="0"/>
        <v>2980.12</v>
      </c>
      <c r="L20" s="7">
        <v>9</v>
      </c>
      <c r="M20" s="80">
        <v>0.14990000000000001</v>
      </c>
      <c r="N20" s="18">
        <v>0.5</v>
      </c>
      <c r="O20" s="26">
        <v>0</v>
      </c>
      <c r="P20" s="26">
        <f>+'[1]CEDAR  031=2,90 '!O74+'[1]CEDAR  031=2,90 '!P74</f>
        <v>1788.08</v>
      </c>
      <c r="Q20" s="129">
        <v>596.02499999999998</v>
      </c>
      <c r="R20" s="26">
        <v>446.719988</v>
      </c>
      <c r="S20" s="128">
        <f t="shared" si="1"/>
        <v>37.226665666666669</v>
      </c>
      <c r="T20" s="17">
        <f>+K20*M20</f>
        <v>446.719988</v>
      </c>
      <c r="U20" s="17">
        <f t="shared" si="3"/>
        <v>2830.8249879999998</v>
      </c>
      <c r="V20" s="57">
        <f t="shared" si="7"/>
        <v>1490.6550239999997</v>
      </c>
      <c r="W20" s="76">
        <f t="shared" si="5"/>
        <v>335.03999100000004</v>
      </c>
      <c r="X20" s="77">
        <f t="shared" si="2"/>
        <v>857.00000899999986</v>
      </c>
      <c r="Y20" s="15"/>
    </row>
    <row r="21" spans="1:25" x14ac:dyDescent="0.25">
      <c r="A21" s="153">
        <v>12</v>
      </c>
      <c r="B21" s="22" t="s">
        <v>385</v>
      </c>
      <c r="C21" s="223" t="s">
        <v>829</v>
      </c>
      <c r="D21" s="7" t="s">
        <v>195</v>
      </c>
      <c r="E21" s="7">
        <v>1</v>
      </c>
      <c r="F21" s="17">
        <v>6150.08</v>
      </c>
      <c r="G21" s="7"/>
      <c r="H21" s="130"/>
      <c r="I21" s="7"/>
      <c r="J21" s="5"/>
      <c r="K21" s="128">
        <f t="shared" si="0"/>
        <v>6150.08</v>
      </c>
      <c r="L21" s="7">
        <v>4</v>
      </c>
      <c r="M21" s="80">
        <v>0.14990000000000001</v>
      </c>
      <c r="N21" s="18">
        <v>0.5</v>
      </c>
      <c r="O21" s="129">
        <v>0</v>
      </c>
      <c r="P21" s="26">
        <f>+'[1]CEDAR  031=2,90 '!O75+'[1]CEDAR  031=2,90 '!P75</f>
        <v>1230.02</v>
      </c>
      <c r="Q21" s="129">
        <v>922.51250000000005</v>
      </c>
      <c r="R21" s="26">
        <v>921.89699200000007</v>
      </c>
      <c r="S21" s="128">
        <f t="shared" si="1"/>
        <v>76.824749333333344</v>
      </c>
      <c r="T21" s="17">
        <f>+K21*M21</f>
        <v>921.89699200000007</v>
      </c>
      <c r="U21" s="17">
        <f t="shared" si="3"/>
        <v>3074.4294920000002</v>
      </c>
      <c r="V21" s="57">
        <f t="shared" si="7"/>
        <v>3383.7735160000002</v>
      </c>
      <c r="W21" s="78">
        <f t="shared" si="5"/>
        <v>691.42274400000008</v>
      </c>
      <c r="X21" s="75">
        <f t="shared" si="2"/>
        <v>4228.6372559999991</v>
      </c>
      <c r="Y21" s="15"/>
    </row>
    <row r="22" spans="1:25" x14ac:dyDescent="0.25">
      <c r="A22" s="153">
        <v>13</v>
      </c>
      <c r="B22" s="22" t="s">
        <v>385</v>
      </c>
      <c r="C22" s="223" t="s">
        <v>830</v>
      </c>
      <c r="D22" s="7" t="s">
        <v>195</v>
      </c>
      <c r="E22" s="7">
        <v>1</v>
      </c>
      <c r="F22" s="17">
        <v>6457.58</v>
      </c>
      <c r="G22" s="7"/>
      <c r="H22" s="130"/>
      <c r="I22" s="7"/>
      <c r="J22" s="5"/>
      <c r="K22" s="128">
        <f t="shared" ref="K22:K40" si="8">+F22+H22</f>
        <v>6457.58</v>
      </c>
      <c r="L22" s="7">
        <v>3</v>
      </c>
      <c r="M22" s="80">
        <v>0.14990000000000001</v>
      </c>
      <c r="N22" s="18">
        <v>0.5</v>
      </c>
      <c r="O22" s="129">
        <v>0</v>
      </c>
      <c r="P22" s="26">
        <f>+'[1]CEDAR  031=2,90 '!O76+'[1]CEDAR  031=2,90 '!P76</f>
        <v>922.52</v>
      </c>
      <c r="Q22" s="129">
        <v>922.51250000000005</v>
      </c>
      <c r="R22" s="26">
        <v>967.99124200000006</v>
      </c>
      <c r="S22" s="128">
        <f t="shared" ref="S22:S36" si="9">+T22/12</f>
        <v>80.665936833333333</v>
      </c>
      <c r="T22" s="17">
        <f t="shared" si="6"/>
        <v>967.99124200000006</v>
      </c>
      <c r="U22" s="17">
        <f t="shared" si="3"/>
        <v>2813.0237420000003</v>
      </c>
      <c r="V22" s="57">
        <f t="shared" si="7"/>
        <v>3599.085016</v>
      </c>
      <c r="W22" s="78">
        <f t="shared" si="5"/>
        <v>725.99343150000004</v>
      </c>
      <c r="X22" s="75">
        <f t="shared" si="2"/>
        <v>4809.0665684999994</v>
      </c>
      <c r="Y22" s="15"/>
    </row>
    <row r="23" spans="1:25" x14ac:dyDescent="0.25">
      <c r="A23" s="153">
        <v>14</v>
      </c>
      <c r="B23" s="22" t="s">
        <v>385</v>
      </c>
      <c r="C23" s="223" t="s">
        <v>831</v>
      </c>
      <c r="D23" s="7" t="s">
        <v>204</v>
      </c>
      <c r="E23" s="7">
        <v>1</v>
      </c>
      <c r="F23" s="17">
        <v>66266.73</v>
      </c>
      <c r="G23" s="7"/>
      <c r="H23" s="130"/>
      <c r="I23" s="7"/>
      <c r="J23" s="5"/>
      <c r="K23" s="128">
        <f>+F23+H23</f>
        <v>66266.73</v>
      </c>
      <c r="L23" s="7">
        <v>0</v>
      </c>
      <c r="M23" s="80">
        <v>0.14990000000000001</v>
      </c>
      <c r="N23" s="18">
        <v>0.5</v>
      </c>
      <c r="O23" s="129">
        <v>0</v>
      </c>
      <c r="P23" s="26">
        <f>+'[1]CEDAR  031=2,90 '!O77+'[1]CEDAR  031=2,90 '!P77</f>
        <v>0</v>
      </c>
      <c r="Q23" s="129">
        <v>8283.3412499999995</v>
      </c>
      <c r="R23" s="26">
        <v>9933.3828269999995</v>
      </c>
      <c r="S23" s="128">
        <f>+T23/12</f>
        <v>827.78190224999992</v>
      </c>
      <c r="T23" s="17">
        <f>+K23*M23</f>
        <v>9933.3828269999995</v>
      </c>
      <c r="U23" s="17">
        <f t="shared" si="3"/>
        <v>18216.724076999999</v>
      </c>
      <c r="V23" s="57">
        <f t="shared" si="7"/>
        <v>38116.623095999996</v>
      </c>
      <c r="W23" s="78">
        <f t="shared" si="5"/>
        <v>7450.0371202499991</v>
      </c>
      <c r="X23" s="75">
        <f t="shared" si="2"/>
        <v>58816.69287975</v>
      </c>
      <c r="Y23" s="15"/>
    </row>
    <row r="24" spans="1:25" ht="15.6" customHeight="1" x14ac:dyDescent="0.25">
      <c r="A24" s="153">
        <v>15</v>
      </c>
      <c r="B24" s="22" t="s">
        <v>385</v>
      </c>
      <c r="C24" s="223" t="s">
        <v>832</v>
      </c>
      <c r="D24" s="7" t="s">
        <v>207</v>
      </c>
      <c r="E24" s="7">
        <v>1</v>
      </c>
      <c r="F24" s="128">
        <v>28820</v>
      </c>
      <c r="G24" s="7"/>
      <c r="H24" s="130"/>
      <c r="I24" s="7"/>
      <c r="J24" s="5"/>
      <c r="K24" s="128">
        <f t="shared" si="8"/>
        <v>28820</v>
      </c>
      <c r="L24" s="7">
        <v>0</v>
      </c>
      <c r="M24" s="80">
        <v>0.14990000000000001</v>
      </c>
      <c r="N24" s="18">
        <v>0.5</v>
      </c>
      <c r="O24" s="129">
        <v>0</v>
      </c>
      <c r="P24" s="26">
        <f>+'[1]CEDAR  031=2,90 '!O78+'[1]CEDAR  031=2,90 '!P78</f>
        <v>0</v>
      </c>
      <c r="Q24" s="129">
        <v>3602.5</v>
      </c>
      <c r="R24" s="26">
        <v>4320.1180000000004</v>
      </c>
      <c r="S24" s="128">
        <f t="shared" si="9"/>
        <v>360.00983333333335</v>
      </c>
      <c r="T24" s="17">
        <f>+K24*M24</f>
        <v>4320.1180000000004</v>
      </c>
      <c r="U24" s="17">
        <f t="shared" si="3"/>
        <v>7922.6180000000004</v>
      </c>
      <c r="V24" s="57">
        <f t="shared" si="7"/>
        <v>16577.263999999996</v>
      </c>
      <c r="W24" s="78">
        <f>+S24*9</f>
        <v>3240.0885000000003</v>
      </c>
      <c r="X24" s="75">
        <f>+F24-O24-P24-W24</f>
        <v>25579.911499999998</v>
      </c>
      <c r="Y24" s="15"/>
    </row>
    <row r="25" spans="1:25" s="25" customFormat="1" x14ac:dyDescent="0.25">
      <c r="A25" s="153">
        <v>16</v>
      </c>
      <c r="B25" s="22" t="s">
        <v>385</v>
      </c>
      <c r="C25" s="169" t="s">
        <v>833</v>
      </c>
      <c r="D25" s="7" t="s">
        <v>388</v>
      </c>
      <c r="E25" s="7"/>
      <c r="F25" s="128">
        <v>57260</v>
      </c>
      <c r="G25" s="7"/>
      <c r="H25" s="130"/>
      <c r="I25" s="7">
        <v>2</v>
      </c>
      <c r="J25" s="5"/>
      <c r="K25" s="128">
        <f t="shared" si="8"/>
        <v>57260</v>
      </c>
      <c r="L25" s="7">
        <v>9</v>
      </c>
      <c r="M25" s="80">
        <v>0.125</v>
      </c>
      <c r="N25" s="18"/>
      <c r="O25" s="129"/>
      <c r="P25" s="26"/>
      <c r="Q25" s="129">
        <v>1192.9166666666667</v>
      </c>
      <c r="R25" s="26">
        <v>7157.5</v>
      </c>
      <c r="S25" s="128">
        <f>+H25*M25/12</f>
        <v>0</v>
      </c>
      <c r="T25" s="17">
        <f t="shared" ref="T25:T36" si="10">+K25*M25</f>
        <v>7157.5</v>
      </c>
      <c r="U25" s="17">
        <f t="shared" si="3"/>
        <v>8350.4166666666661</v>
      </c>
      <c r="V25" s="57">
        <f t="shared" si="7"/>
        <v>41752.083333333336</v>
      </c>
      <c r="W25" s="102">
        <f t="shared" ref="W25:W39" si="11">+S25*9</f>
        <v>0</v>
      </c>
      <c r="X25" s="103">
        <f>+K25-O25-P25-U25</f>
        <v>48909.583333333336</v>
      </c>
      <c r="Y25" s="68"/>
    </row>
    <row r="26" spans="1:25" s="25" customFormat="1" x14ac:dyDescent="0.25">
      <c r="A26" s="153">
        <v>17</v>
      </c>
      <c r="B26" s="22" t="s">
        <v>385</v>
      </c>
      <c r="C26" s="169" t="s">
        <v>834</v>
      </c>
      <c r="D26" s="7" t="s">
        <v>389</v>
      </c>
      <c r="E26" s="7"/>
      <c r="F26" s="128">
        <v>9856.9</v>
      </c>
      <c r="G26" s="7"/>
      <c r="H26" s="130"/>
      <c r="I26" s="7">
        <v>3</v>
      </c>
      <c r="J26" s="5"/>
      <c r="K26" s="128">
        <f t="shared" si="8"/>
        <v>9856.9</v>
      </c>
      <c r="L26" s="7">
        <v>9</v>
      </c>
      <c r="M26" s="80">
        <v>0.125</v>
      </c>
      <c r="N26" s="18"/>
      <c r="O26" s="129"/>
      <c r="P26" s="26"/>
      <c r="Q26" s="129">
        <v>308.02812499999999</v>
      </c>
      <c r="R26" s="26">
        <v>1232.1125</v>
      </c>
      <c r="S26" s="128">
        <f>+H26*M26/12</f>
        <v>0</v>
      </c>
      <c r="T26" s="17">
        <f t="shared" si="10"/>
        <v>1232.1125</v>
      </c>
      <c r="U26" s="17">
        <f t="shared" si="3"/>
        <v>1540.140625</v>
      </c>
      <c r="V26" s="57">
        <f t="shared" si="7"/>
        <v>7084.6468749999995</v>
      </c>
      <c r="W26" s="102">
        <f t="shared" si="11"/>
        <v>0</v>
      </c>
      <c r="X26" s="103">
        <f t="shared" ref="X26:X38" si="12">+K26-O26-P26-U26</f>
        <v>8316.7593749999996</v>
      </c>
      <c r="Y26" s="68"/>
    </row>
    <row r="27" spans="1:25" s="25" customFormat="1" x14ac:dyDescent="0.25">
      <c r="A27" s="153">
        <v>18</v>
      </c>
      <c r="B27" s="22" t="s">
        <v>385</v>
      </c>
      <c r="C27" s="169" t="s">
        <v>835</v>
      </c>
      <c r="D27" s="7" t="s">
        <v>390</v>
      </c>
      <c r="E27" s="7"/>
      <c r="F27" s="128">
        <v>4985</v>
      </c>
      <c r="G27" s="7"/>
      <c r="H27" s="130"/>
      <c r="I27" s="7">
        <v>5</v>
      </c>
      <c r="J27" s="5"/>
      <c r="K27" s="128">
        <f t="shared" si="8"/>
        <v>4985</v>
      </c>
      <c r="L27" s="7">
        <v>7</v>
      </c>
      <c r="M27" s="80">
        <v>0.125</v>
      </c>
      <c r="N27" s="18"/>
      <c r="O27" s="129"/>
      <c r="P27" s="26"/>
      <c r="Q27" s="129">
        <v>259.63541666666669</v>
      </c>
      <c r="R27" s="26">
        <v>623.125</v>
      </c>
      <c r="S27" s="128">
        <f>+H27*M27/12</f>
        <v>0</v>
      </c>
      <c r="T27" s="17">
        <f t="shared" si="10"/>
        <v>623.125</v>
      </c>
      <c r="U27" s="17">
        <f t="shared" si="3"/>
        <v>882.76041666666674</v>
      </c>
      <c r="V27" s="57">
        <f t="shared" si="7"/>
        <v>3479.114583333333</v>
      </c>
      <c r="W27" s="102">
        <f t="shared" si="11"/>
        <v>0</v>
      </c>
      <c r="X27" s="103">
        <f t="shared" si="12"/>
        <v>4102.239583333333</v>
      </c>
      <c r="Y27" s="68"/>
    </row>
    <row r="28" spans="1:25" s="25" customFormat="1" x14ac:dyDescent="0.25">
      <c r="A28" s="153">
        <v>19</v>
      </c>
      <c r="B28" s="22" t="s">
        <v>385</v>
      </c>
      <c r="C28" s="169" t="s">
        <v>836</v>
      </c>
      <c r="D28" s="7" t="s">
        <v>391</v>
      </c>
      <c r="E28" s="7"/>
      <c r="F28" s="128">
        <v>39860.639999999999</v>
      </c>
      <c r="G28" s="7"/>
      <c r="H28" s="130"/>
      <c r="I28" s="7">
        <v>5</v>
      </c>
      <c r="J28" s="5"/>
      <c r="K28" s="128">
        <f t="shared" si="8"/>
        <v>39860.639999999999</v>
      </c>
      <c r="L28" s="7">
        <v>7</v>
      </c>
      <c r="M28" s="80">
        <v>0.125</v>
      </c>
      <c r="N28" s="18"/>
      <c r="O28" s="129"/>
      <c r="P28" s="26"/>
      <c r="Q28" s="129">
        <v>2076.0749999999998</v>
      </c>
      <c r="R28" s="26">
        <v>4982.58</v>
      </c>
      <c r="S28" s="128">
        <f>+H28*M28/12</f>
        <v>0</v>
      </c>
      <c r="T28" s="17">
        <f t="shared" si="10"/>
        <v>4982.58</v>
      </c>
      <c r="U28" s="17">
        <f t="shared" si="3"/>
        <v>7058.6549999999997</v>
      </c>
      <c r="V28" s="57">
        <f t="shared" si="7"/>
        <v>27819.404999999999</v>
      </c>
      <c r="W28" s="102">
        <f t="shared" si="11"/>
        <v>0</v>
      </c>
      <c r="X28" s="103">
        <f t="shared" si="12"/>
        <v>32801.985000000001</v>
      </c>
      <c r="Y28" s="68"/>
    </row>
    <row r="29" spans="1:25" s="25" customFormat="1" x14ac:dyDescent="0.25">
      <c r="A29" s="153">
        <v>20</v>
      </c>
      <c r="B29" s="22" t="s">
        <v>385</v>
      </c>
      <c r="C29" s="169" t="s">
        <v>837</v>
      </c>
      <c r="D29" s="7" t="s">
        <v>392</v>
      </c>
      <c r="E29" s="7"/>
      <c r="F29" s="128">
        <v>13697.9</v>
      </c>
      <c r="G29" s="7"/>
      <c r="H29" s="130"/>
      <c r="I29" s="7">
        <v>5</v>
      </c>
      <c r="J29" s="5"/>
      <c r="K29" s="128">
        <f t="shared" si="8"/>
        <v>13697.9</v>
      </c>
      <c r="L29" s="7">
        <v>7</v>
      </c>
      <c r="M29" s="80">
        <v>0.125</v>
      </c>
      <c r="N29" s="18"/>
      <c r="O29" s="129"/>
      <c r="P29" s="26"/>
      <c r="Q29" s="129">
        <v>713.43229166666663</v>
      </c>
      <c r="R29" s="26">
        <v>1712.2375</v>
      </c>
      <c r="S29" s="128">
        <f>+H29*M29/12</f>
        <v>0</v>
      </c>
      <c r="T29" s="17">
        <f t="shared" si="10"/>
        <v>1712.2375</v>
      </c>
      <c r="U29" s="17">
        <f t="shared" si="3"/>
        <v>2425.6697916666667</v>
      </c>
      <c r="V29" s="57">
        <f t="shared" si="7"/>
        <v>9559.992708333335</v>
      </c>
      <c r="W29" s="102">
        <f t="shared" si="11"/>
        <v>0</v>
      </c>
      <c r="X29" s="103">
        <f t="shared" si="12"/>
        <v>11272.230208333332</v>
      </c>
      <c r="Y29" s="68"/>
    </row>
    <row r="30" spans="1:25" s="25" customFormat="1" x14ac:dyDescent="0.25">
      <c r="A30" s="153">
        <v>21</v>
      </c>
      <c r="B30" s="22" t="s">
        <v>385</v>
      </c>
      <c r="C30" s="169" t="s">
        <v>838</v>
      </c>
      <c r="D30" s="149" t="s">
        <v>845</v>
      </c>
      <c r="E30" s="7"/>
      <c r="F30" s="128">
        <v>131990</v>
      </c>
      <c r="G30" s="7"/>
      <c r="H30" s="130"/>
      <c r="I30" s="7"/>
      <c r="J30" s="5"/>
      <c r="K30" s="128">
        <f t="shared" si="8"/>
        <v>131990</v>
      </c>
      <c r="L30" s="7"/>
      <c r="M30" s="80">
        <v>0.125</v>
      </c>
      <c r="N30" s="18"/>
      <c r="O30" s="129"/>
      <c r="P30" s="26"/>
      <c r="Q30" s="129">
        <v>0</v>
      </c>
      <c r="R30" s="26">
        <v>16498.75</v>
      </c>
      <c r="S30" s="128">
        <f t="shared" si="9"/>
        <v>1374.8958333333333</v>
      </c>
      <c r="T30" s="17">
        <f t="shared" si="10"/>
        <v>16498.75</v>
      </c>
      <c r="U30" s="17">
        <f t="shared" si="3"/>
        <v>16498.75</v>
      </c>
      <c r="V30" s="57">
        <f t="shared" si="7"/>
        <v>98992.5</v>
      </c>
      <c r="W30" s="102">
        <f t="shared" si="11"/>
        <v>12374.0625</v>
      </c>
      <c r="X30" s="103">
        <f t="shared" si="12"/>
        <v>115491.25</v>
      </c>
    </row>
    <row r="31" spans="1:25" s="25" customFormat="1" x14ac:dyDescent="0.25">
      <c r="A31" s="153">
        <v>22</v>
      </c>
      <c r="B31" s="22" t="s">
        <v>385</v>
      </c>
      <c r="C31" s="169" t="s">
        <v>572</v>
      </c>
      <c r="D31" s="149" t="s">
        <v>846</v>
      </c>
      <c r="E31" s="7"/>
      <c r="F31" s="128">
        <v>3695</v>
      </c>
      <c r="G31" s="7"/>
      <c r="H31" s="130"/>
      <c r="I31" s="7"/>
      <c r="J31" s="5"/>
      <c r="K31" s="128">
        <f t="shared" si="8"/>
        <v>3695</v>
      </c>
      <c r="L31" s="7"/>
      <c r="M31" s="80">
        <v>0.125</v>
      </c>
      <c r="N31" s="18"/>
      <c r="O31" s="129"/>
      <c r="P31" s="26"/>
      <c r="Q31" s="129">
        <v>0</v>
      </c>
      <c r="R31" s="26">
        <v>461.875</v>
      </c>
      <c r="S31" s="128">
        <f t="shared" si="9"/>
        <v>38.489583333333336</v>
      </c>
      <c r="T31" s="17">
        <f t="shared" si="10"/>
        <v>461.875</v>
      </c>
      <c r="U31" s="17">
        <f t="shared" si="3"/>
        <v>461.875</v>
      </c>
      <c r="V31" s="57">
        <f t="shared" si="7"/>
        <v>2771.25</v>
      </c>
      <c r="W31" s="102">
        <f t="shared" si="11"/>
        <v>346.40625</v>
      </c>
      <c r="X31" s="103">
        <f t="shared" si="12"/>
        <v>3233.125</v>
      </c>
    </row>
    <row r="32" spans="1:25" s="25" customFormat="1" x14ac:dyDescent="0.25">
      <c r="A32" s="153">
        <v>23</v>
      </c>
      <c r="B32" s="22" t="s">
        <v>385</v>
      </c>
      <c r="C32" s="169" t="s">
        <v>839</v>
      </c>
      <c r="D32" s="149" t="s">
        <v>847</v>
      </c>
      <c r="E32" s="7"/>
      <c r="F32" s="128">
        <v>4598</v>
      </c>
      <c r="G32" s="7"/>
      <c r="H32" s="130"/>
      <c r="I32" s="7"/>
      <c r="J32" s="5"/>
      <c r="K32" s="128">
        <f t="shared" si="8"/>
        <v>4598</v>
      </c>
      <c r="L32" s="7"/>
      <c r="M32" s="80">
        <v>0.125</v>
      </c>
      <c r="N32" s="18"/>
      <c r="O32" s="129"/>
      <c r="P32" s="26"/>
      <c r="Q32" s="129">
        <v>0</v>
      </c>
      <c r="R32" s="26">
        <v>574.75</v>
      </c>
      <c r="S32" s="128">
        <f t="shared" si="9"/>
        <v>47.895833333333336</v>
      </c>
      <c r="T32" s="17">
        <f t="shared" si="10"/>
        <v>574.75</v>
      </c>
      <c r="U32" s="17">
        <f t="shared" si="3"/>
        <v>574.75</v>
      </c>
      <c r="V32" s="57">
        <f t="shared" si="7"/>
        <v>3448.5</v>
      </c>
      <c r="W32" s="102">
        <f t="shared" si="11"/>
        <v>431.0625</v>
      </c>
      <c r="X32" s="103">
        <f t="shared" si="12"/>
        <v>4023.25</v>
      </c>
    </row>
    <row r="33" spans="1:24" s="25" customFormat="1" x14ac:dyDescent="0.25">
      <c r="A33" s="153">
        <v>24</v>
      </c>
      <c r="B33" s="22" t="s">
        <v>385</v>
      </c>
      <c r="C33" s="169" t="s">
        <v>840</v>
      </c>
      <c r="D33" s="149" t="s">
        <v>848</v>
      </c>
      <c r="E33" s="7"/>
      <c r="F33" s="128">
        <v>6354</v>
      </c>
      <c r="G33" s="7"/>
      <c r="H33" s="130"/>
      <c r="I33" s="7"/>
      <c r="J33" s="5"/>
      <c r="K33" s="128">
        <f t="shared" si="8"/>
        <v>6354</v>
      </c>
      <c r="L33" s="7"/>
      <c r="M33" s="80">
        <v>0.125</v>
      </c>
      <c r="N33" s="18"/>
      <c r="O33" s="129"/>
      <c r="P33" s="26"/>
      <c r="Q33" s="129">
        <v>0</v>
      </c>
      <c r="R33" s="26">
        <v>794.25</v>
      </c>
      <c r="S33" s="128">
        <f t="shared" si="9"/>
        <v>66.1875</v>
      </c>
      <c r="T33" s="17">
        <f t="shared" si="10"/>
        <v>794.25</v>
      </c>
      <c r="U33" s="17">
        <f t="shared" si="3"/>
        <v>794.25</v>
      </c>
      <c r="V33" s="57">
        <f t="shared" si="7"/>
        <v>4765.5</v>
      </c>
      <c r="W33" s="102">
        <f t="shared" si="11"/>
        <v>595.6875</v>
      </c>
      <c r="X33" s="103">
        <f t="shared" si="12"/>
        <v>5559.75</v>
      </c>
    </row>
    <row r="34" spans="1:24" s="25" customFormat="1" x14ac:dyDescent="0.25">
      <c r="A34" s="153">
        <v>25</v>
      </c>
      <c r="B34" s="22" t="s">
        <v>385</v>
      </c>
      <c r="C34" s="169" t="s">
        <v>841</v>
      </c>
      <c r="D34" s="149" t="s">
        <v>849</v>
      </c>
      <c r="E34" s="7"/>
      <c r="F34" s="128">
        <v>45279</v>
      </c>
      <c r="G34" s="7"/>
      <c r="H34" s="130"/>
      <c r="I34" s="7"/>
      <c r="J34" s="5"/>
      <c r="K34" s="128">
        <f t="shared" si="8"/>
        <v>45279</v>
      </c>
      <c r="L34" s="7"/>
      <c r="M34" s="80">
        <v>0.125</v>
      </c>
      <c r="N34" s="18"/>
      <c r="O34" s="129"/>
      <c r="P34" s="26"/>
      <c r="Q34" s="129">
        <v>0</v>
      </c>
      <c r="R34" s="26">
        <v>5659.875</v>
      </c>
      <c r="S34" s="128">
        <f t="shared" si="9"/>
        <v>471.65625</v>
      </c>
      <c r="T34" s="17">
        <f t="shared" si="10"/>
        <v>5659.875</v>
      </c>
      <c r="U34" s="17">
        <f t="shared" si="3"/>
        <v>5659.875</v>
      </c>
      <c r="V34" s="57">
        <f t="shared" si="7"/>
        <v>33959.25</v>
      </c>
      <c r="W34" s="102">
        <f t="shared" si="11"/>
        <v>4244.90625</v>
      </c>
      <c r="X34" s="103">
        <f t="shared" si="12"/>
        <v>39619.125</v>
      </c>
    </row>
    <row r="35" spans="1:24" s="25" customFormat="1" x14ac:dyDescent="0.25">
      <c r="A35" s="153">
        <v>26</v>
      </c>
      <c r="B35" s="22" t="s">
        <v>385</v>
      </c>
      <c r="C35" s="169" t="s">
        <v>842</v>
      </c>
      <c r="D35" s="149" t="s">
        <v>850</v>
      </c>
      <c r="E35" s="7"/>
      <c r="F35" s="128">
        <v>27000</v>
      </c>
      <c r="G35" s="7"/>
      <c r="H35" s="130"/>
      <c r="I35" s="7"/>
      <c r="J35" s="5"/>
      <c r="K35" s="128">
        <f t="shared" si="8"/>
        <v>27000</v>
      </c>
      <c r="L35" s="7"/>
      <c r="M35" s="80">
        <v>0.125</v>
      </c>
      <c r="N35" s="18"/>
      <c r="O35" s="129"/>
      <c r="P35" s="26"/>
      <c r="Q35" s="129">
        <v>0</v>
      </c>
      <c r="R35" s="26">
        <v>3375</v>
      </c>
      <c r="S35" s="128">
        <f t="shared" si="9"/>
        <v>281.25</v>
      </c>
      <c r="T35" s="17">
        <f t="shared" si="10"/>
        <v>3375</v>
      </c>
      <c r="U35" s="17">
        <f t="shared" si="3"/>
        <v>3375</v>
      </c>
      <c r="V35" s="57">
        <f t="shared" si="7"/>
        <v>20250</v>
      </c>
      <c r="W35" s="102">
        <f t="shared" si="11"/>
        <v>2531.25</v>
      </c>
      <c r="X35" s="103">
        <f t="shared" si="12"/>
        <v>23625</v>
      </c>
    </row>
    <row r="36" spans="1:24" s="25" customFormat="1" x14ac:dyDescent="0.25">
      <c r="A36" s="153">
        <v>27</v>
      </c>
      <c r="B36" s="22" t="s">
        <v>385</v>
      </c>
      <c r="C36" s="169" t="s">
        <v>843</v>
      </c>
      <c r="D36" s="149" t="s">
        <v>851</v>
      </c>
      <c r="E36" s="7"/>
      <c r="F36" s="128">
        <v>5000</v>
      </c>
      <c r="G36" s="7"/>
      <c r="H36" s="130"/>
      <c r="I36" s="7"/>
      <c r="J36" s="5"/>
      <c r="K36" s="128">
        <f t="shared" si="8"/>
        <v>5000</v>
      </c>
      <c r="L36" s="7"/>
      <c r="M36" s="80">
        <v>0.125</v>
      </c>
      <c r="N36" s="18"/>
      <c r="O36" s="129"/>
      <c r="P36" s="26"/>
      <c r="Q36" s="129">
        <v>0</v>
      </c>
      <c r="R36" s="26">
        <v>625</v>
      </c>
      <c r="S36" s="128">
        <f t="shared" si="9"/>
        <v>52.083333333333336</v>
      </c>
      <c r="T36" s="17">
        <f t="shared" si="10"/>
        <v>625</v>
      </c>
      <c r="U36" s="17">
        <f t="shared" si="3"/>
        <v>625</v>
      </c>
      <c r="V36" s="57">
        <f t="shared" si="7"/>
        <v>3750</v>
      </c>
      <c r="W36" s="102">
        <f t="shared" si="11"/>
        <v>468.75</v>
      </c>
      <c r="X36" s="103">
        <f t="shared" si="12"/>
        <v>4375</v>
      </c>
    </row>
    <row r="37" spans="1:24" s="25" customFormat="1" x14ac:dyDescent="0.25">
      <c r="A37" s="153">
        <v>28</v>
      </c>
      <c r="B37" s="22" t="s">
        <v>385</v>
      </c>
      <c r="C37" s="169" t="s">
        <v>816</v>
      </c>
      <c r="D37" s="7" t="s">
        <v>421</v>
      </c>
      <c r="E37" s="7"/>
      <c r="F37" s="128">
        <v>137090.95000000001</v>
      </c>
      <c r="G37" s="7"/>
      <c r="H37" s="128">
        <v>0</v>
      </c>
      <c r="I37" s="7"/>
      <c r="J37" s="5"/>
      <c r="K37" s="128">
        <f t="shared" si="8"/>
        <v>137090.95000000001</v>
      </c>
      <c r="L37" s="7">
        <v>11</v>
      </c>
      <c r="M37" s="80">
        <v>0.125</v>
      </c>
      <c r="N37" s="18"/>
      <c r="O37" s="129">
        <v>0</v>
      </c>
      <c r="P37" s="26">
        <v>0</v>
      </c>
      <c r="Q37" s="129">
        <v>0</v>
      </c>
      <c r="R37" s="26">
        <v>15708.3380208333</v>
      </c>
      <c r="S37" s="128">
        <f>+T37/12</f>
        <v>1428.0307291666668</v>
      </c>
      <c r="T37" s="17">
        <f>+K37*M37</f>
        <v>17136.368750000001</v>
      </c>
      <c r="U37" s="17">
        <f t="shared" si="3"/>
        <v>17136.368750000001</v>
      </c>
      <c r="V37" s="57">
        <f t="shared" si="7"/>
        <v>104246.24322916672</v>
      </c>
      <c r="W37" s="102">
        <f t="shared" si="11"/>
        <v>12852.276562500001</v>
      </c>
      <c r="X37" s="103">
        <f t="shared" si="12"/>
        <v>119954.58125000002</v>
      </c>
    </row>
    <row r="38" spans="1:24" s="25" customFormat="1" x14ac:dyDescent="0.25">
      <c r="A38" s="153">
        <v>29</v>
      </c>
      <c r="B38" s="22" t="s">
        <v>385</v>
      </c>
      <c r="C38" s="169" t="s">
        <v>844</v>
      </c>
      <c r="D38" s="7" t="s">
        <v>421</v>
      </c>
      <c r="E38" s="7"/>
      <c r="F38" s="128">
        <v>33320</v>
      </c>
      <c r="G38" s="7"/>
      <c r="H38" s="128">
        <v>0</v>
      </c>
      <c r="I38" s="7"/>
      <c r="J38" s="5"/>
      <c r="K38" s="128">
        <f t="shared" si="8"/>
        <v>33320</v>
      </c>
      <c r="L38" s="7">
        <v>3</v>
      </c>
      <c r="M38" s="80">
        <v>0.125</v>
      </c>
      <c r="N38" s="18"/>
      <c r="O38" s="129">
        <v>0</v>
      </c>
      <c r="P38" s="26">
        <v>0</v>
      </c>
      <c r="Q38" s="129">
        <v>0</v>
      </c>
      <c r="R38" s="26">
        <v>1041.25</v>
      </c>
      <c r="S38" s="128">
        <f>+T38/12</f>
        <v>347.08333333333331</v>
      </c>
      <c r="T38" s="17">
        <f>+K38*M38</f>
        <v>4165</v>
      </c>
      <c r="U38" s="17">
        <f>+O38+P38+Q38+T38</f>
        <v>4165</v>
      </c>
      <c r="V38" s="57">
        <f t="shared" si="7"/>
        <v>28113.75</v>
      </c>
      <c r="W38" s="102">
        <f t="shared" si="11"/>
        <v>3123.75</v>
      </c>
      <c r="X38" s="103">
        <f t="shared" si="12"/>
        <v>29155</v>
      </c>
    </row>
    <row r="39" spans="1:24" s="25" customFormat="1" x14ac:dyDescent="0.25">
      <c r="A39" s="153">
        <v>30</v>
      </c>
      <c r="B39" s="22" t="s">
        <v>385</v>
      </c>
      <c r="C39" s="169" t="s">
        <v>879</v>
      </c>
      <c r="D39" s="7" t="s">
        <v>880</v>
      </c>
      <c r="E39" s="7"/>
      <c r="F39" s="128"/>
      <c r="G39" s="7"/>
      <c r="H39" s="128">
        <v>23114</v>
      </c>
      <c r="I39" s="7"/>
      <c r="J39" s="5"/>
      <c r="K39" s="128">
        <f t="shared" si="8"/>
        <v>23114</v>
      </c>
      <c r="L39" s="7">
        <v>6</v>
      </c>
      <c r="M39" s="80">
        <v>0.125</v>
      </c>
      <c r="N39" s="18"/>
      <c r="O39" s="129"/>
      <c r="P39" s="26"/>
      <c r="Q39" s="129"/>
      <c r="R39" s="26"/>
      <c r="S39" s="128">
        <f>+T39/12</f>
        <v>120.38541666666667</v>
      </c>
      <c r="T39" s="17">
        <f>+K39*M39/12*6</f>
        <v>1444.625</v>
      </c>
      <c r="U39" s="17">
        <f>+O39+P39+Q39+T39</f>
        <v>1444.625</v>
      </c>
      <c r="V39" s="57">
        <f t="shared" si="7"/>
        <v>21669.375</v>
      </c>
      <c r="W39" s="102">
        <f t="shared" si="11"/>
        <v>1083.46875</v>
      </c>
      <c r="X39" s="103"/>
    </row>
    <row r="40" spans="1:24" ht="15.75" thickBot="1" x14ac:dyDescent="0.3">
      <c r="A40" s="56">
        <v>31</v>
      </c>
      <c r="B40" s="22" t="s">
        <v>882</v>
      </c>
      <c r="C40" s="169" t="s">
        <v>883</v>
      </c>
      <c r="D40" s="7" t="s">
        <v>884</v>
      </c>
      <c r="E40" s="7"/>
      <c r="F40" s="128"/>
      <c r="G40" s="7"/>
      <c r="H40" s="128">
        <v>4432</v>
      </c>
      <c r="I40" s="7"/>
      <c r="J40" s="5"/>
      <c r="K40" s="128">
        <f t="shared" si="8"/>
        <v>4432</v>
      </c>
      <c r="L40" s="7"/>
      <c r="M40" s="80">
        <v>0.25</v>
      </c>
      <c r="N40" s="18"/>
      <c r="O40" s="129"/>
      <c r="P40" s="26"/>
      <c r="Q40" s="129"/>
      <c r="R40" s="26">
        <v>0</v>
      </c>
      <c r="S40" s="128"/>
      <c r="T40" s="17">
        <f>+K40*M40/12*6</f>
        <v>554</v>
      </c>
      <c r="U40" s="17">
        <f t="shared" si="3"/>
        <v>554</v>
      </c>
      <c r="V40" s="57">
        <f>+K40-Q40-R40-T40</f>
        <v>3878</v>
      </c>
      <c r="W40" s="78"/>
      <c r="X40" s="75"/>
    </row>
    <row r="41" spans="1:24" ht="16.5" thickTop="1" thickBot="1" x14ac:dyDescent="0.3">
      <c r="A41" s="298" t="s">
        <v>12</v>
      </c>
      <c r="B41" s="298"/>
      <c r="C41" s="298"/>
      <c r="D41" s="298"/>
      <c r="E41" s="298"/>
      <c r="F41" s="117">
        <f>SUM(F10:F40)</f>
        <v>649246.55000000005</v>
      </c>
      <c r="G41" s="117">
        <f>SUM(G10:G40)</f>
        <v>0</v>
      </c>
      <c r="H41" s="117">
        <f>SUM(H10:H40)</f>
        <v>27546</v>
      </c>
      <c r="I41" s="117">
        <v>0</v>
      </c>
      <c r="J41" s="117">
        <f>SUM(J10:J40)</f>
        <v>0</v>
      </c>
      <c r="K41" s="124">
        <f>+F41+H41</f>
        <v>676792.55</v>
      </c>
      <c r="L41" s="117">
        <v>0</v>
      </c>
      <c r="M41" s="117">
        <v>0</v>
      </c>
      <c r="N41" s="117">
        <v>0</v>
      </c>
      <c r="O41" s="117">
        <f t="shared" ref="O41:X41" si="13">SUM(O10:O40)</f>
        <v>80226.740000000005</v>
      </c>
      <c r="P41" s="117">
        <f t="shared" si="13"/>
        <v>73658.58</v>
      </c>
      <c r="Q41" s="117">
        <f t="shared" ref="Q41:V41" si="14">SUM(Q10:Q40)</f>
        <v>23922.767500000005</v>
      </c>
      <c r="R41" s="117">
        <f t="shared" si="14"/>
        <v>79822.591104833307</v>
      </c>
      <c r="S41" s="117">
        <f t="shared" si="14"/>
        <v>5842.6201528333331</v>
      </c>
      <c r="T41" s="124">
        <f t="shared" si="14"/>
        <v>86372.996834000005</v>
      </c>
      <c r="U41" s="124">
        <f t="shared" si="14"/>
        <v>264181.08433399996</v>
      </c>
      <c r="V41" s="124">
        <f t="shared" si="14"/>
        <v>486674.19456116669</v>
      </c>
      <c r="W41" s="117">
        <f t="shared" si="13"/>
        <v>52583.581375500005</v>
      </c>
      <c r="X41" s="117">
        <f t="shared" si="13"/>
        <v>411280.75768700009</v>
      </c>
    </row>
    <row r="42" spans="1:24" ht="16.5" thickTop="1" thickBot="1" x14ac:dyDescent="0.3">
      <c r="A42" s="296" t="s">
        <v>401</v>
      </c>
      <c r="B42" s="297"/>
      <c r="C42" s="297"/>
      <c r="D42" s="297"/>
      <c r="E42" s="297"/>
      <c r="F42" s="121">
        <f>+F41</f>
        <v>649246.55000000005</v>
      </c>
      <c r="G42" s="121"/>
      <c r="H42" s="121">
        <f>+H41</f>
        <v>27546</v>
      </c>
      <c r="I42" s="121"/>
      <c r="J42" s="121"/>
      <c r="K42" s="121">
        <f>+F42+H42</f>
        <v>676792.55</v>
      </c>
      <c r="L42" s="119"/>
      <c r="M42" s="119"/>
      <c r="N42" s="119"/>
      <c r="O42" s="121">
        <f>+O41</f>
        <v>80226.740000000005</v>
      </c>
      <c r="P42" s="121">
        <f>+P41</f>
        <v>73658.58</v>
      </c>
      <c r="Q42" s="121">
        <f>+Q41</f>
        <v>23922.767500000005</v>
      </c>
      <c r="R42" s="121"/>
      <c r="S42" s="121"/>
      <c r="T42" s="121"/>
      <c r="U42" s="121">
        <f>+U41</f>
        <v>264181.08433399996</v>
      </c>
      <c r="V42" s="120">
        <f>+V41</f>
        <v>486674.19456116669</v>
      </c>
    </row>
    <row r="43" spans="1:24" ht="16.5" thickTop="1" thickBot="1" x14ac:dyDescent="0.3">
      <c r="A43" s="293" t="s">
        <v>291</v>
      </c>
      <c r="B43" s="294"/>
      <c r="C43" s="294"/>
      <c r="D43" s="294"/>
      <c r="E43" s="295"/>
      <c r="F43" s="116">
        <f>+F41-F42</f>
        <v>0</v>
      </c>
      <c r="G43" s="122"/>
      <c r="H43" s="123">
        <f>+H41-H42</f>
        <v>0</v>
      </c>
      <c r="I43" s="122"/>
      <c r="J43" s="122"/>
      <c r="K43" s="116">
        <f>+K41-K42</f>
        <v>0</v>
      </c>
      <c r="L43" s="288"/>
      <c r="M43" s="289"/>
      <c r="N43" s="290"/>
      <c r="O43" s="116">
        <f>+O41-O42</f>
        <v>0</v>
      </c>
      <c r="P43" s="116">
        <f>+P41-P42</f>
        <v>0</v>
      </c>
      <c r="Q43" s="116">
        <f>+Q41-Q42</f>
        <v>0</v>
      </c>
      <c r="R43" s="116"/>
      <c r="S43" s="122"/>
      <c r="T43" s="122"/>
      <c r="U43" s="116">
        <f>+U41-U42</f>
        <v>0</v>
      </c>
      <c r="V43" s="116">
        <f>+V41-V42</f>
        <v>0</v>
      </c>
      <c r="X43" s="15"/>
    </row>
    <row r="44" spans="1:24" ht="15.75" thickTop="1" x14ac:dyDescent="0.25">
      <c r="A44" s="127"/>
      <c r="P44" s="15"/>
      <c r="Q44" s="15"/>
      <c r="R44" s="15"/>
      <c r="V44" s="15"/>
    </row>
    <row r="45" spans="1:24" x14ac:dyDescent="0.25">
      <c r="H45" s="15"/>
      <c r="P45" s="15"/>
      <c r="Q45" s="15"/>
      <c r="R45" s="15"/>
      <c r="S45" s="15"/>
      <c r="U45" s="15"/>
      <c r="V45" s="15"/>
    </row>
    <row r="46" spans="1:24" hidden="1" x14ac:dyDescent="0.25">
      <c r="H46" s="15"/>
      <c r="V46" s="15"/>
    </row>
    <row r="47" spans="1:24" hidden="1" x14ac:dyDescent="0.25">
      <c r="E47" s="125" t="s">
        <v>451</v>
      </c>
    </row>
    <row r="48" spans="1:24" hidden="1" x14ac:dyDescent="0.25">
      <c r="D48" s="65" t="s">
        <v>339</v>
      </c>
      <c r="E48" s="15">
        <v>803131.87</v>
      </c>
    </row>
    <row r="49" spans="4:19" hidden="1" x14ac:dyDescent="0.25">
      <c r="D49" s="65" t="s">
        <v>462</v>
      </c>
      <c r="E49" s="15">
        <v>177808.09</v>
      </c>
    </row>
    <row r="50" spans="4:19" hidden="1" x14ac:dyDescent="0.25">
      <c r="D50" s="179" t="s">
        <v>457</v>
      </c>
      <c r="E50" s="15">
        <f>+T41</f>
        <v>86372.996834000005</v>
      </c>
    </row>
    <row r="51" spans="4:19" hidden="1" x14ac:dyDescent="0.25">
      <c r="D51" s="186" t="s">
        <v>454</v>
      </c>
      <c r="E51" s="143">
        <f>+E48-E49-E50-V41</f>
        <v>52276.588604833349</v>
      </c>
    </row>
    <row r="52" spans="4:19" hidden="1" x14ac:dyDescent="0.25"/>
    <row r="53" spans="4:19" x14ac:dyDescent="0.25">
      <c r="S53" s="15"/>
    </row>
    <row r="54" spans="4:19" x14ac:dyDescent="0.25">
      <c r="R54" s="15"/>
    </row>
  </sheetData>
  <mergeCells count="29">
    <mergeCell ref="A41:E41"/>
    <mergeCell ref="A42:E42"/>
    <mergeCell ref="A43:E43"/>
    <mergeCell ref="L43:N43"/>
    <mergeCell ref="X6:X8"/>
    <mergeCell ref="O7:O8"/>
    <mergeCell ref="P7:P8"/>
    <mergeCell ref="S7:S8"/>
    <mergeCell ref="T7:T8"/>
    <mergeCell ref="U7:U8"/>
    <mergeCell ref="K6:K8"/>
    <mergeCell ref="L6:L8"/>
    <mergeCell ref="M6:N7"/>
    <mergeCell ref="O6:U6"/>
    <mergeCell ref="V6:V8"/>
    <mergeCell ref="W6:W8"/>
    <mergeCell ref="A3:V3"/>
    <mergeCell ref="A4:V4"/>
    <mergeCell ref="A6:A8"/>
    <mergeCell ref="B6:B8"/>
    <mergeCell ref="D6:D8"/>
    <mergeCell ref="E6:E8"/>
    <mergeCell ref="F6:F8"/>
    <mergeCell ref="G6:H7"/>
    <mergeCell ref="I6:I8"/>
    <mergeCell ref="J6:J8"/>
    <mergeCell ref="Q7:Q8"/>
    <mergeCell ref="C6:C8"/>
    <mergeCell ref="R7:R8"/>
  </mergeCells>
  <pageMargins left="0.25" right="0.25" top="0.75" bottom="0.75" header="0.3" footer="0.3"/>
  <pageSetup paperSize="9" scale="49" fitToHeight="0" orientation="landscape" r:id="rId1"/>
  <legacy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>
    <tabColor rgb="FF00B0F0"/>
    <pageSetUpPr fitToPage="1"/>
  </sheetPr>
  <dimension ref="A1:Z43"/>
  <sheetViews>
    <sheetView topLeftCell="A2" zoomScaleNormal="100" workbookViewId="0">
      <selection activeCell="Q43" sqref="Q43"/>
    </sheetView>
  </sheetViews>
  <sheetFormatPr defaultColWidth="9.140625" defaultRowHeight="15" x14ac:dyDescent="0.25"/>
  <cols>
    <col min="1" max="1" width="5.7109375" style="2" customWidth="1"/>
    <col min="2" max="3" width="7.28515625" style="2" customWidth="1"/>
    <col min="4" max="4" width="30.42578125" style="2" customWidth="1"/>
    <col min="5" max="5" width="27.5703125" style="2" bestFit="1" customWidth="1"/>
    <col min="6" max="6" width="12.85546875" style="2" customWidth="1"/>
    <col min="7" max="7" width="8.42578125" style="2" customWidth="1"/>
    <col min="8" max="8" width="12.42578125" style="2" customWidth="1"/>
    <col min="9" max="10" width="7.42578125" style="2" customWidth="1"/>
    <col min="11" max="11" width="13.7109375" style="2" customWidth="1"/>
    <col min="12" max="12" width="11.28515625" style="2" customWidth="1"/>
    <col min="13" max="13" width="8.42578125" style="2" customWidth="1"/>
    <col min="14" max="14" width="8.140625" style="2" customWidth="1"/>
    <col min="15" max="15" width="12.28515625" style="2" customWidth="1"/>
    <col min="16" max="17" width="11.28515625" style="2" customWidth="1"/>
    <col min="18" max="18" width="11.7109375" style="2" bestFit="1" customWidth="1"/>
    <col min="19" max="19" width="11.28515625" style="2" customWidth="1"/>
    <col min="20" max="20" width="13" style="2" customWidth="1"/>
    <col min="21" max="21" width="11" style="2" customWidth="1"/>
    <col min="22" max="22" width="12.5703125" style="2" customWidth="1"/>
    <col min="23" max="23" width="0" style="2" hidden="1" customWidth="1"/>
    <col min="24" max="24" width="14.85546875" style="2" hidden="1" customWidth="1"/>
    <col min="25" max="25" width="13.5703125" style="2" bestFit="1" customWidth="1"/>
    <col min="26" max="26" width="11.5703125" style="2" bestFit="1" customWidth="1"/>
    <col min="27" max="16384" width="9.140625" style="2"/>
  </cols>
  <sheetData>
    <row r="1" spans="1:26" x14ac:dyDescent="0.25">
      <c r="A1" s="113" t="s">
        <v>359</v>
      </c>
    </row>
    <row r="3" spans="1:26" x14ac:dyDescent="0.25">
      <c r="A3" s="299" t="s">
        <v>864</v>
      </c>
      <c r="B3" s="299"/>
      <c r="C3" s="299"/>
      <c r="D3" s="299"/>
      <c r="E3" s="299"/>
      <c r="F3" s="299"/>
      <c r="G3" s="299"/>
      <c r="H3" s="299"/>
      <c r="I3" s="299"/>
      <c r="J3" s="299"/>
      <c r="K3" s="299"/>
      <c r="L3" s="299"/>
      <c r="M3" s="299"/>
      <c r="N3" s="299"/>
      <c r="O3" s="299"/>
      <c r="P3" s="299"/>
      <c r="Q3" s="299"/>
      <c r="R3" s="299"/>
      <c r="S3" s="299"/>
      <c r="T3" s="299"/>
      <c r="U3" s="299"/>
      <c r="V3" s="299"/>
    </row>
    <row r="4" spans="1:26" x14ac:dyDescent="0.25">
      <c r="A4" s="300" t="s">
        <v>215</v>
      </c>
      <c r="B4" s="300"/>
      <c r="C4" s="300"/>
      <c r="D4" s="300"/>
      <c r="E4" s="300"/>
      <c r="F4" s="300"/>
      <c r="G4" s="300"/>
      <c r="H4" s="300"/>
      <c r="I4" s="300"/>
      <c r="J4" s="300"/>
      <c r="K4" s="300"/>
      <c r="L4" s="300"/>
      <c r="M4" s="300"/>
      <c r="N4" s="300"/>
      <c r="O4" s="300"/>
      <c r="P4" s="300"/>
      <c r="Q4" s="300"/>
      <c r="R4" s="300"/>
      <c r="S4" s="300"/>
      <c r="T4" s="300"/>
      <c r="U4" s="300"/>
      <c r="V4" s="300"/>
    </row>
    <row r="5" spans="1:26" ht="15.75" thickBot="1" x14ac:dyDescent="0.3">
      <c r="A5" s="71"/>
    </row>
    <row r="6" spans="1:26" ht="16.5" customHeight="1" thickTop="1" thickBot="1" x14ac:dyDescent="0.3">
      <c r="A6" s="283" t="s">
        <v>0</v>
      </c>
      <c r="B6" s="283" t="s">
        <v>332</v>
      </c>
      <c r="C6" s="283" t="s">
        <v>524</v>
      </c>
      <c r="D6" s="283" t="s">
        <v>1</v>
      </c>
      <c r="E6" s="283" t="s">
        <v>7</v>
      </c>
      <c r="F6" s="283" t="s">
        <v>414</v>
      </c>
      <c r="G6" s="284" t="s">
        <v>523</v>
      </c>
      <c r="H6" s="284"/>
      <c r="I6" s="283" t="s">
        <v>18</v>
      </c>
      <c r="J6" s="283" t="s">
        <v>19</v>
      </c>
      <c r="K6" s="284" t="s">
        <v>408</v>
      </c>
      <c r="L6" s="283" t="s">
        <v>4</v>
      </c>
      <c r="M6" s="283" t="s">
        <v>5</v>
      </c>
      <c r="N6" s="283"/>
      <c r="O6" s="283" t="s">
        <v>8</v>
      </c>
      <c r="P6" s="283"/>
      <c r="Q6" s="283"/>
      <c r="R6" s="283"/>
      <c r="S6" s="283"/>
      <c r="T6" s="283"/>
      <c r="U6" s="283"/>
      <c r="V6" s="285" t="s">
        <v>868</v>
      </c>
      <c r="W6" s="285" t="s">
        <v>260</v>
      </c>
      <c r="X6" s="285" t="s">
        <v>261</v>
      </c>
    </row>
    <row r="7" spans="1:26" ht="25.5" customHeight="1" thickTop="1" thickBot="1" x14ac:dyDescent="0.3">
      <c r="A7" s="283"/>
      <c r="B7" s="283"/>
      <c r="C7" s="283"/>
      <c r="D7" s="283"/>
      <c r="E7" s="283"/>
      <c r="F7" s="283"/>
      <c r="G7" s="284"/>
      <c r="H7" s="284"/>
      <c r="I7" s="283"/>
      <c r="J7" s="283"/>
      <c r="K7" s="284"/>
      <c r="L7" s="283"/>
      <c r="M7" s="283"/>
      <c r="N7" s="283"/>
      <c r="O7" s="283" t="s">
        <v>6</v>
      </c>
      <c r="P7" s="291" t="s">
        <v>254</v>
      </c>
      <c r="Q7" s="291" t="s">
        <v>410</v>
      </c>
      <c r="R7" s="291" t="s">
        <v>865</v>
      </c>
      <c r="S7" s="285" t="s">
        <v>866</v>
      </c>
      <c r="T7" s="285" t="s">
        <v>871</v>
      </c>
      <c r="U7" s="283" t="s">
        <v>265</v>
      </c>
      <c r="V7" s="286"/>
      <c r="W7" s="286"/>
      <c r="X7" s="286"/>
    </row>
    <row r="8" spans="1:26" ht="39" customHeight="1" thickTop="1" thickBot="1" x14ac:dyDescent="0.3">
      <c r="A8" s="283"/>
      <c r="B8" s="283"/>
      <c r="C8" s="283"/>
      <c r="D8" s="283"/>
      <c r="E8" s="283"/>
      <c r="F8" s="283"/>
      <c r="G8" s="154" t="s">
        <v>2</v>
      </c>
      <c r="H8" s="154" t="s">
        <v>3</v>
      </c>
      <c r="I8" s="283"/>
      <c r="J8" s="283"/>
      <c r="K8" s="284"/>
      <c r="L8" s="283"/>
      <c r="M8" s="154" t="s">
        <v>256</v>
      </c>
      <c r="N8" s="154" t="s">
        <v>255</v>
      </c>
      <c r="O8" s="283"/>
      <c r="P8" s="292"/>
      <c r="Q8" s="292"/>
      <c r="R8" s="292"/>
      <c r="S8" s="287"/>
      <c r="T8" s="287"/>
      <c r="U8" s="283"/>
      <c r="V8" s="287"/>
      <c r="W8" s="287"/>
      <c r="X8" s="287"/>
    </row>
    <row r="9" spans="1:26" ht="16.5" thickTop="1" thickBot="1" x14ac:dyDescent="0.3">
      <c r="A9" s="74">
        <v>1</v>
      </c>
      <c r="B9" s="74">
        <v>2</v>
      </c>
      <c r="C9" s="74">
        <v>3</v>
      </c>
      <c r="D9" s="74">
        <v>4</v>
      </c>
      <c r="E9" s="74">
        <v>5</v>
      </c>
      <c r="F9" s="74">
        <v>6</v>
      </c>
      <c r="G9" s="74">
        <v>7</v>
      </c>
      <c r="H9" s="74">
        <v>8</v>
      </c>
      <c r="I9" s="74">
        <v>9</v>
      </c>
      <c r="J9" s="74">
        <v>10</v>
      </c>
      <c r="K9" s="74">
        <v>11</v>
      </c>
      <c r="L9" s="74">
        <v>12</v>
      </c>
      <c r="M9" s="74">
        <v>13</v>
      </c>
      <c r="N9" s="74">
        <v>14</v>
      </c>
      <c r="O9" s="74">
        <v>15</v>
      </c>
      <c r="P9" s="74">
        <v>16</v>
      </c>
      <c r="Q9" s="74">
        <v>17</v>
      </c>
      <c r="R9" s="74">
        <v>18</v>
      </c>
      <c r="S9" s="74">
        <v>19</v>
      </c>
      <c r="T9" s="74">
        <v>20</v>
      </c>
      <c r="U9" s="74">
        <v>21</v>
      </c>
      <c r="V9" s="74">
        <v>22</v>
      </c>
      <c r="W9" s="74">
        <v>20</v>
      </c>
      <c r="X9" s="74">
        <v>21</v>
      </c>
    </row>
    <row r="10" spans="1:26" ht="15.75" thickTop="1" x14ac:dyDescent="0.25">
      <c r="A10" s="174">
        <v>1</v>
      </c>
      <c r="B10" s="23" t="s">
        <v>216</v>
      </c>
      <c r="C10" s="23"/>
      <c r="D10" s="24" t="s">
        <v>217</v>
      </c>
      <c r="E10" s="6">
        <v>1</v>
      </c>
      <c r="F10" s="14">
        <v>0</v>
      </c>
      <c r="G10" s="6"/>
      <c r="H10" s="6"/>
      <c r="I10" s="6"/>
      <c r="J10" s="16"/>
      <c r="K10" s="14">
        <f>+F10+H10</f>
        <v>0</v>
      </c>
      <c r="L10" s="6"/>
      <c r="M10" s="91">
        <v>9.1600000000000001E-2</v>
      </c>
      <c r="N10" s="11">
        <v>0.5</v>
      </c>
      <c r="O10" s="14">
        <v>7774.96</v>
      </c>
      <c r="P10" s="16">
        <v>0</v>
      </c>
      <c r="Q10" s="16">
        <v>0</v>
      </c>
      <c r="R10" s="16">
        <v>0</v>
      </c>
      <c r="S10" s="16">
        <v>0</v>
      </c>
      <c r="T10" s="16">
        <f>+K10*M10</f>
        <v>0</v>
      </c>
      <c r="U10" s="16">
        <f>+O10+P10+T10+Q10</f>
        <v>7774.96</v>
      </c>
      <c r="V10" s="55">
        <f>+K10-Q10-T10</f>
        <v>0</v>
      </c>
      <c r="W10" s="87">
        <v>0</v>
      </c>
      <c r="X10" s="77">
        <v>0</v>
      </c>
    </row>
    <row r="11" spans="1:26" x14ac:dyDescent="0.25">
      <c r="A11" s="153">
        <v>3</v>
      </c>
      <c r="B11" s="22" t="s">
        <v>216</v>
      </c>
      <c r="C11" s="22"/>
      <c r="D11" s="5" t="s">
        <v>218</v>
      </c>
      <c r="E11" s="7">
        <v>1</v>
      </c>
      <c r="F11" s="15">
        <v>0</v>
      </c>
      <c r="G11" s="7"/>
      <c r="H11" s="7"/>
      <c r="I11" s="7"/>
      <c r="J11" s="5"/>
      <c r="K11" s="15">
        <f>+F11+H11</f>
        <v>0</v>
      </c>
      <c r="L11" s="7"/>
      <c r="M11" s="80">
        <v>9.1600000000000001E-2</v>
      </c>
      <c r="N11" s="19">
        <v>0.5</v>
      </c>
      <c r="O11" s="15">
        <v>9640</v>
      </c>
      <c r="P11" s="17">
        <v>0</v>
      </c>
      <c r="Q11" s="17">
        <v>0</v>
      </c>
      <c r="R11" s="17">
        <v>0</v>
      </c>
      <c r="S11" s="17">
        <v>0</v>
      </c>
      <c r="T11" s="17">
        <f>+K11*M11</f>
        <v>0</v>
      </c>
      <c r="U11" s="17">
        <f>+O11+P11+Q11+T11</f>
        <v>9640</v>
      </c>
      <c r="V11" s="58">
        <f>+K11-Q11-T11</f>
        <v>0</v>
      </c>
      <c r="W11" s="87">
        <v>0</v>
      </c>
      <c r="X11" s="75">
        <v>0</v>
      </c>
    </row>
    <row r="12" spans="1:26" x14ac:dyDescent="0.25">
      <c r="A12" s="153">
        <v>4</v>
      </c>
      <c r="B12" s="22" t="s">
        <v>216</v>
      </c>
      <c r="C12" s="22"/>
      <c r="D12" s="5" t="s">
        <v>245</v>
      </c>
      <c r="E12" s="7">
        <v>1</v>
      </c>
      <c r="F12" s="15">
        <v>0</v>
      </c>
      <c r="G12" s="7"/>
      <c r="H12" s="7"/>
      <c r="I12" s="7"/>
      <c r="J12" s="5"/>
      <c r="K12" s="15">
        <f t="shared" ref="K12:K25" si="0">+F12+H12</f>
        <v>0</v>
      </c>
      <c r="L12" s="7"/>
      <c r="M12" s="80">
        <v>9.1600000000000001E-2</v>
      </c>
      <c r="N12" s="19">
        <v>0.5</v>
      </c>
      <c r="O12" s="15">
        <v>21478.799999999999</v>
      </c>
      <c r="P12" s="17">
        <v>0</v>
      </c>
      <c r="Q12" s="17">
        <v>0</v>
      </c>
      <c r="R12" s="17">
        <v>0</v>
      </c>
      <c r="S12" s="17">
        <v>0</v>
      </c>
      <c r="T12" s="17">
        <f t="shared" ref="T12:T24" si="1">+K12*M12</f>
        <v>0</v>
      </c>
      <c r="U12" s="17">
        <f t="shared" ref="U12:U25" si="2">+O12+P12+Q12+T12</f>
        <v>21478.799999999999</v>
      </c>
      <c r="V12" s="58">
        <f t="shared" ref="V12:V14" si="3">+K12-Q12-T12</f>
        <v>0</v>
      </c>
      <c r="W12" s="87">
        <v>0</v>
      </c>
      <c r="X12" s="75">
        <v>0</v>
      </c>
    </row>
    <row r="13" spans="1:26" x14ac:dyDescent="0.25">
      <c r="A13" s="153">
        <v>5</v>
      </c>
      <c r="B13" s="22" t="s">
        <v>216</v>
      </c>
      <c r="C13" s="22"/>
      <c r="D13" s="5" t="s">
        <v>246</v>
      </c>
      <c r="E13" s="7">
        <v>1</v>
      </c>
      <c r="F13" s="15">
        <v>0</v>
      </c>
      <c r="G13" s="7"/>
      <c r="H13" s="7"/>
      <c r="I13" s="7"/>
      <c r="J13" s="5"/>
      <c r="K13" s="15">
        <f t="shared" si="0"/>
        <v>0</v>
      </c>
      <c r="L13" s="7"/>
      <c r="M13" s="80">
        <v>9.1600000000000001E-2</v>
      </c>
      <c r="N13" s="19">
        <v>0.5</v>
      </c>
      <c r="O13" s="15">
        <v>15840</v>
      </c>
      <c r="P13" s="17">
        <v>0</v>
      </c>
      <c r="Q13" s="17">
        <v>0</v>
      </c>
      <c r="R13" s="17">
        <v>0</v>
      </c>
      <c r="S13" s="17">
        <v>0</v>
      </c>
      <c r="T13" s="17">
        <f t="shared" si="1"/>
        <v>0</v>
      </c>
      <c r="U13" s="17">
        <f t="shared" si="2"/>
        <v>15840</v>
      </c>
      <c r="V13" s="58">
        <f t="shared" si="3"/>
        <v>0</v>
      </c>
      <c r="W13" s="87">
        <v>0</v>
      </c>
      <c r="X13" s="75">
        <v>0</v>
      </c>
    </row>
    <row r="14" spans="1:26" x14ac:dyDescent="0.25">
      <c r="A14" s="153">
        <v>6</v>
      </c>
      <c r="B14" s="22" t="s">
        <v>216</v>
      </c>
      <c r="C14" s="22"/>
      <c r="D14" s="5" t="s">
        <v>219</v>
      </c>
      <c r="E14" s="7">
        <v>1</v>
      </c>
      <c r="F14" s="15">
        <v>0</v>
      </c>
      <c r="G14" s="7"/>
      <c r="H14" s="7"/>
      <c r="I14" s="7"/>
      <c r="J14" s="5"/>
      <c r="K14" s="15">
        <f t="shared" si="0"/>
        <v>0</v>
      </c>
      <c r="L14" s="7"/>
      <c r="M14" s="80">
        <v>9.1600000000000001E-2</v>
      </c>
      <c r="N14" s="19">
        <v>0.5</v>
      </c>
      <c r="O14" s="15">
        <v>26955.18</v>
      </c>
      <c r="P14" s="17">
        <v>0</v>
      </c>
      <c r="Q14" s="17">
        <v>0</v>
      </c>
      <c r="R14" s="17">
        <v>0</v>
      </c>
      <c r="S14" s="17">
        <v>0</v>
      </c>
      <c r="T14" s="17">
        <f t="shared" si="1"/>
        <v>0</v>
      </c>
      <c r="U14" s="17">
        <f t="shared" si="2"/>
        <v>26955.18</v>
      </c>
      <c r="V14" s="58">
        <f t="shared" si="3"/>
        <v>0</v>
      </c>
      <c r="W14" s="87">
        <v>0</v>
      </c>
      <c r="X14" s="75">
        <v>0</v>
      </c>
    </row>
    <row r="15" spans="1:26" x14ac:dyDescent="0.25">
      <c r="A15" s="153">
        <v>7</v>
      </c>
      <c r="B15" s="22" t="s">
        <v>216</v>
      </c>
      <c r="C15" s="22"/>
      <c r="D15" s="5" t="s">
        <v>220</v>
      </c>
      <c r="E15" s="7">
        <v>1</v>
      </c>
      <c r="F15" s="15">
        <v>2872.8</v>
      </c>
      <c r="G15" s="7"/>
      <c r="H15" s="7"/>
      <c r="I15" s="7"/>
      <c r="J15" s="5"/>
      <c r="K15" s="15">
        <f>+F15+H15</f>
        <v>2872.8</v>
      </c>
      <c r="L15" s="7"/>
      <c r="M15" s="80">
        <v>9.1600000000000001E-2</v>
      </c>
      <c r="N15" s="19">
        <v>0.5</v>
      </c>
      <c r="O15" s="15">
        <v>1436.4</v>
      </c>
      <c r="P15" s="17">
        <v>4309.2</v>
      </c>
      <c r="Q15" s="17">
        <v>430.92</v>
      </c>
      <c r="R15" s="17">
        <v>263.14848000000001</v>
      </c>
      <c r="S15" s="17">
        <f>+T15/12</f>
        <v>21.929040000000001</v>
      </c>
      <c r="T15" s="17">
        <f t="shared" si="1"/>
        <v>263.14848000000001</v>
      </c>
      <c r="U15" s="17">
        <f t="shared" si="2"/>
        <v>6439.6684800000003</v>
      </c>
      <c r="V15" s="58">
        <f>+K15-Q15-R15-T15</f>
        <v>1915.5830400000002</v>
      </c>
      <c r="W15" s="87">
        <f>+S15*9</f>
        <v>197.36135999999999</v>
      </c>
      <c r="X15" s="75">
        <f>+K15-O15-P15-W15</f>
        <v>-3070.1613599999996</v>
      </c>
    </row>
    <row r="16" spans="1:26" x14ac:dyDescent="0.25">
      <c r="A16" s="153">
        <v>8</v>
      </c>
      <c r="B16" s="22" t="s">
        <v>216</v>
      </c>
      <c r="C16" s="22"/>
      <c r="D16" s="5" t="s">
        <v>220</v>
      </c>
      <c r="E16" s="7"/>
      <c r="F16" s="17">
        <v>14394.84</v>
      </c>
      <c r="G16" s="7"/>
      <c r="H16" s="17"/>
      <c r="I16" s="7"/>
      <c r="J16" s="5"/>
      <c r="K16" s="15">
        <f t="shared" si="0"/>
        <v>14394.84</v>
      </c>
      <c r="L16" s="7"/>
      <c r="M16" s="80">
        <v>9.1600000000000001E-2</v>
      </c>
      <c r="N16" s="19">
        <v>0.5</v>
      </c>
      <c r="O16" s="15"/>
      <c r="P16" s="17">
        <v>8636.91</v>
      </c>
      <c r="Q16" s="17">
        <v>1151.5875000000001</v>
      </c>
      <c r="R16" s="17">
        <v>1318.567344</v>
      </c>
      <c r="S16" s="17">
        <f>+T16/12</f>
        <v>109.880612</v>
      </c>
      <c r="T16" s="17">
        <f t="shared" si="1"/>
        <v>1318.567344</v>
      </c>
      <c r="U16" s="17">
        <f t="shared" si="2"/>
        <v>11107.064844</v>
      </c>
      <c r="V16" s="58">
        <f t="shared" ref="V16:V30" si="4">+K16-Q16-R16-T16</f>
        <v>10606.117812</v>
      </c>
      <c r="W16" s="87">
        <f>+S16*9</f>
        <v>988.92550800000004</v>
      </c>
      <c r="X16" s="75">
        <f>+K16-O16-P16-W16</f>
        <v>4769.004492</v>
      </c>
      <c r="Z16" s="15"/>
    </row>
    <row r="17" spans="1:26" s="25" customFormat="1" x14ac:dyDescent="0.25">
      <c r="A17" s="153">
        <v>9</v>
      </c>
      <c r="B17" s="22" t="s">
        <v>216</v>
      </c>
      <c r="C17" s="22"/>
      <c r="D17" s="5" t="s">
        <v>270</v>
      </c>
      <c r="E17" s="7"/>
      <c r="F17" s="17">
        <v>9771.1200000000008</v>
      </c>
      <c r="G17" s="7"/>
      <c r="H17" s="17"/>
      <c r="I17" s="7"/>
      <c r="J17" s="5"/>
      <c r="K17" s="15">
        <f t="shared" si="0"/>
        <v>9771.1200000000008</v>
      </c>
      <c r="L17" s="7"/>
      <c r="M17" s="80">
        <v>0.05</v>
      </c>
      <c r="N17" s="19"/>
      <c r="O17" s="15"/>
      <c r="P17" s="17">
        <v>0</v>
      </c>
      <c r="Q17" s="17">
        <v>0</v>
      </c>
      <c r="R17" s="17">
        <v>488.55600000000004</v>
      </c>
      <c r="S17" s="17">
        <f t="shared" ref="S17" si="5">+T17/12</f>
        <v>40.713000000000001</v>
      </c>
      <c r="T17" s="17">
        <f t="shared" si="1"/>
        <v>488.55600000000004</v>
      </c>
      <c r="U17" s="17">
        <f t="shared" si="2"/>
        <v>488.55600000000004</v>
      </c>
      <c r="V17" s="58">
        <f t="shared" si="4"/>
        <v>8794.0079999999998</v>
      </c>
      <c r="W17" s="106">
        <f>+S17*9</f>
        <v>366.41700000000003</v>
      </c>
      <c r="X17" s="103">
        <f>+K17-O17-P17-W17</f>
        <v>9404.7030000000013</v>
      </c>
      <c r="Z17" s="68"/>
    </row>
    <row r="18" spans="1:26" s="25" customFormat="1" x14ac:dyDescent="0.25">
      <c r="A18" s="153">
        <v>10</v>
      </c>
      <c r="B18" s="22" t="s">
        <v>216</v>
      </c>
      <c r="C18" s="22"/>
      <c r="D18" s="5" t="s">
        <v>271</v>
      </c>
      <c r="E18" s="7"/>
      <c r="F18" s="17">
        <v>17200</v>
      </c>
      <c r="G18" s="7"/>
      <c r="H18" s="17"/>
      <c r="I18" s="7"/>
      <c r="J18" s="5"/>
      <c r="K18" s="15">
        <f t="shared" si="0"/>
        <v>17200</v>
      </c>
      <c r="L18" s="7"/>
      <c r="M18" s="80">
        <v>0.05</v>
      </c>
      <c r="N18" s="19"/>
      <c r="O18" s="15"/>
      <c r="P18" s="17">
        <v>0</v>
      </c>
      <c r="Q18" s="17">
        <v>0</v>
      </c>
      <c r="R18" s="17">
        <v>860</v>
      </c>
      <c r="S18" s="17">
        <f>+T18/12</f>
        <v>71.666666666666671</v>
      </c>
      <c r="T18" s="17">
        <f t="shared" si="1"/>
        <v>860</v>
      </c>
      <c r="U18" s="17">
        <f t="shared" si="2"/>
        <v>860</v>
      </c>
      <c r="V18" s="58">
        <f t="shared" si="4"/>
        <v>15480</v>
      </c>
      <c r="W18" s="106">
        <f t="shared" ref="W18:W25" si="6">+S18*9</f>
        <v>645</v>
      </c>
      <c r="X18" s="103">
        <f>+K18-O18-P18-W18</f>
        <v>16555</v>
      </c>
      <c r="Z18" s="147"/>
    </row>
    <row r="19" spans="1:26" s="25" customFormat="1" x14ac:dyDescent="0.25">
      <c r="A19" s="153">
        <v>11</v>
      </c>
      <c r="B19" s="22" t="s">
        <v>216</v>
      </c>
      <c r="C19" s="22"/>
      <c r="D19" s="5" t="s">
        <v>272</v>
      </c>
      <c r="E19" s="7"/>
      <c r="F19" s="17">
        <v>17460</v>
      </c>
      <c r="G19" s="7"/>
      <c r="H19" s="17"/>
      <c r="I19" s="7"/>
      <c r="J19" s="5"/>
      <c r="K19" s="15">
        <f t="shared" si="0"/>
        <v>17460</v>
      </c>
      <c r="L19" s="7"/>
      <c r="M19" s="80">
        <v>0.05</v>
      </c>
      <c r="N19" s="19"/>
      <c r="O19" s="15"/>
      <c r="P19" s="17">
        <v>0</v>
      </c>
      <c r="Q19" s="17">
        <v>0</v>
      </c>
      <c r="R19" s="17">
        <v>873</v>
      </c>
      <c r="S19" s="17">
        <f t="shared" ref="S19:S25" si="7">+T19/12</f>
        <v>72.75</v>
      </c>
      <c r="T19" s="17">
        <f t="shared" si="1"/>
        <v>873</v>
      </c>
      <c r="U19" s="17">
        <f t="shared" si="2"/>
        <v>873</v>
      </c>
      <c r="V19" s="58">
        <f t="shared" si="4"/>
        <v>15714</v>
      </c>
      <c r="W19" s="106">
        <f t="shared" si="6"/>
        <v>654.75</v>
      </c>
      <c r="X19" s="103">
        <f t="shared" ref="X19:X25" si="8">+K19-O19-P19-W19</f>
        <v>16805.25</v>
      </c>
    </row>
    <row r="20" spans="1:26" s="25" customFormat="1" x14ac:dyDescent="0.25">
      <c r="A20" s="153">
        <v>12</v>
      </c>
      <c r="B20" s="22" t="s">
        <v>216</v>
      </c>
      <c r="C20" s="22"/>
      <c r="D20" s="5" t="s">
        <v>273</v>
      </c>
      <c r="E20" s="7"/>
      <c r="F20" s="17">
        <v>530000</v>
      </c>
      <c r="G20" s="7"/>
      <c r="H20" s="17"/>
      <c r="I20" s="7"/>
      <c r="J20" s="5"/>
      <c r="K20" s="15">
        <f t="shared" si="0"/>
        <v>530000</v>
      </c>
      <c r="L20" s="7"/>
      <c r="M20" s="80">
        <v>0.05</v>
      </c>
      <c r="N20" s="19"/>
      <c r="O20" s="15"/>
      <c r="P20" s="17">
        <v>0</v>
      </c>
      <c r="Q20" s="17">
        <v>0</v>
      </c>
      <c r="R20" s="17">
        <v>26500</v>
      </c>
      <c r="S20" s="17">
        <f t="shared" si="7"/>
        <v>2208.3333333333335</v>
      </c>
      <c r="T20" s="17">
        <f t="shared" si="1"/>
        <v>26500</v>
      </c>
      <c r="U20" s="17">
        <f t="shared" si="2"/>
        <v>26500</v>
      </c>
      <c r="V20" s="58">
        <f t="shared" si="4"/>
        <v>477000</v>
      </c>
      <c r="W20" s="106">
        <f t="shared" si="6"/>
        <v>19875</v>
      </c>
      <c r="X20" s="103">
        <f t="shared" si="8"/>
        <v>510125</v>
      </c>
    </row>
    <row r="21" spans="1:26" s="25" customFormat="1" x14ac:dyDescent="0.25">
      <c r="A21" s="153">
        <v>13</v>
      </c>
      <c r="B21" s="22" t="s">
        <v>216</v>
      </c>
      <c r="C21" s="22"/>
      <c r="D21" s="5" t="s">
        <v>274</v>
      </c>
      <c r="E21" s="7"/>
      <c r="F21" s="17">
        <v>37420</v>
      </c>
      <c r="G21" s="7"/>
      <c r="H21" s="17"/>
      <c r="I21" s="7"/>
      <c r="J21" s="5"/>
      <c r="K21" s="15">
        <f t="shared" si="0"/>
        <v>37420</v>
      </c>
      <c r="L21" s="7"/>
      <c r="M21" s="80">
        <v>0.05</v>
      </c>
      <c r="N21" s="19"/>
      <c r="O21" s="15"/>
      <c r="P21" s="17">
        <v>0</v>
      </c>
      <c r="Q21" s="17">
        <v>0</v>
      </c>
      <c r="R21" s="17">
        <v>1871</v>
      </c>
      <c r="S21" s="17">
        <f t="shared" si="7"/>
        <v>155.91666666666666</v>
      </c>
      <c r="T21" s="17">
        <f t="shared" si="1"/>
        <v>1871</v>
      </c>
      <c r="U21" s="17">
        <f t="shared" si="2"/>
        <v>1871</v>
      </c>
      <c r="V21" s="58">
        <f t="shared" si="4"/>
        <v>33678</v>
      </c>
      <c r="W21" s="106">
        <f t="shared" si="6"/>
        <v>1403.25</v>
      </c>
      <c r="X21" s="103">
        <f t="shared" si="8"/>
        <v>36016.75</v>
      </c>
    </row>
    <row r="22" spans="1:26" s="25" customFormat="1" x14ac:dyDescent="0.25">
      <c r="A22" s="153">
        <v>14</v>
      </c>
      <c r="B22" s="22" t="s">
        <v>216</v>
      </c>
      <c r="C22" s="22"/>
      <c r="D22" s="5" t="s">
        <v>275</v>
      </c>
      <c r="E22" s="7"/>
      <c r="F22" s="17">
        <v>39840</v>
      </c>
      <c r="G22" s="7"/>
      <c r="H22" s="17"/>
      <c r="I22" s="7"/>
      <c r="J22" s="5"/>
      <c r="K22" s="15">
        <f t="shared" si="0"/>
        <v>39840</v>
      </c>
      <c r="L22" s="7"/>
      <c r="M22" s="80">
        <v>0.05</v>
      </c>
      <c r="N22" s="19"/>
      <c r="O22" s="15"/>
      <c r="P22" s="17">
        <v>0</v>
      </c>
      <c r="Q22" s="17">
        <v>0</v>
      </c>
      <c r="R22" s="17">
        <v>1992</v>
      </c>
      <c r="S22" s="17">
        <f t="shared" si="7"/>
        <v>166</v>
      </c>
      <c r="T22" s="17">
        <f t="shared" si="1"/>
        <v>1992</v>
      </c>
      <c r="U22" s="17">
        <f t="shared" si="2"/>
        <v>1992</v>
      </c>
      <c r="V22" s="58">
        <f t="shared" si="4"/>
        <v>35856</v>
      </c>
      <c r="W22" s="106">
        <f t="shared" si="6"/>
        <v>1494</v>
      </c>
      <c r="X22" s="103">
        <f t="shared" si="8"/>
        <v>38346</v>
      </c>
    </row>
    <row r="23" spans="1:26" s="25" customFormat="1" x14ac:dyDescent="0.25">
      <c r="A23" s="153">
        <v>15</v>
      </c>
      <c r="B23" s="22" t="s">
        <v>216</v>
      </c>
      <c r="C23" s="22"/>
      <c r="D23" s="5" t="s">
        <v>276</v>
      </c>
      <c r="E23" s="7"/>
      <c r="F23" s="17">
        <v>63100</v>
      </c>
      <c r="G23" s="7"/>
      <c r="H23" s="17"/>
      <c r="I23" s="7"/>
      <c r="J23" s="5"/>
      <c r="K23" s="15">
        <f t="shared" si="0"/>
        <v>63100</v>
      </c>
      <c r="L23" s="7"/>
      <c r="M23" s="80">
        <v>0.05</v>
      </c>
      <c r="N23" s="19"/>
      <c r="O23" s="15"/>
      <c r="P23" s="17">
        <v>0</v>
      </c>
      <c r="Q23" s="17">
        <v>0</v>
      </c>
      <c r="R23" s="17">
        <v>3155</v>
      </c>
      <c r="S23" s="17">
        <f t="shared" si="7"/>
        <v>262.91666666666669</v>
      </c>
      <c r="T23" s="17">
        <f t="shared" si="1"/>
        <v>3155</v>
      </c>
      <c r="U23" s="17">
        <f t="shared" si="2"/>
        <v>3155</v>
      </c>
      <c r="V23" s="58">
        <f t="shared" si="4"/>
        <v>56790</v>
      </c>
      <c r="W23" s="106">
        <f t="shared" si="6"/>
        <v>2366.25</v>
      </c>
      <c r="X23" s="103">
        <f t="shared" si="8"/>
        <v>60733.75</v>
      </c>
    </row>
    <row r="24" spans="1:26" s="25" customFormat="1" x14ac:dyDescent="0.25">
      <c r="A24" s="153">
        <v>16</v>
      </c>
      <c r="B24" s="22" t="s">
        <v>216</v>
      </c>
      <c r="C24" s="22"/>
      <c r="D24" s="5" t="s">
        <v>277</v>
      </c>
      <c r="E24" s="7"/>
      <c r="F24" s="17">
        <v>62300</v>
      </c>
      <c r="G24" s="7"/>
      <c r="H24" s="17"/>
      <c r="I24" s="7"/>
      <c r="J24" s="5"/>
      <c r="K24" s="15">
        <f t="shared" si="0"/>
        <v>62300</v>
      </c>
      <c r="L24" s="7"/>
      <c r="M24" s="80">
        <v>0.05</v>
      </c>
      <c r="N24" s="19"/>
      <c r="O24" s="15"/>
      <c r="P24" s="17">
        <v>0</v>
      </c>
      <c r="Q24" s="17">
        <v>0</v>
      </c>
      <c r="R24" s="17">
        <v>3115</v>
      </c>
      <c r="S24" s="17">
        <f t="shared" si="7"/>
        <v>259.58333333333331</v>
      </c>
      <c r="T24" s="17">
        <f t="shared" si="1"/>
        <v>3115</v>
      </c>
      <c r="U24" s="17">
        <f t="shared" si="2"/>
        <v>3115</v>
      </c>
      <c r="V24" s="58">
        <f t="shared" si="4"/>
        <v>56070</v>
      </c>
      <c r="W24" s="106">
        <f t="shared" si="6"/>
        <v>2336.25</v>
      </c>
      <c r="X24" s="103">
        <f t="shared" si="8"/>
        <v>59963.75</v>
      </c>
    </row>
    <row r="25" spans="1:26" s="25" customFormat="1" x14ac:dyDescent="0.25">
      <c r="A25" s="153">
        <v>17</v>
      </c>
      <c r="B25" s="22" t="s">
        <v>216</v>
      </c>
      <c r="C25" s="22"/>
      <c r="D25" s="5" t="s">
        <v>278</v>
      </c>
      <c r="E25" s="7"/>
      <c r="F25" s="17">
        <v>1042000</v>
      </c>
      <c r="G25" s="7"/>
      <c r="H25" s="17"/>
      <c r="I25" s="7"/>
      <c r="J25" s="5"/>
      <c r="K25" s="15">
        <f t="shared" si="0"/>
        <v>1042000</v>
      </c>
      <c r="L25" s="7"/>
      <c r="M25" s="80">
        <v>0.05</v>
      </c>
      <c r="N25" s="19"/>
      <c r="O25" s="15"/>
      <c r="P25" s="17">
        <v>0</v>
      </c>
      <c r="Q25" s="17">
        <v>0</v>
      </c>
      <c r="R25" s="17">
        <v>52100</v>
      </c>
      <c r="S25" s="17">
        <f t="shared" si="7"/>
        <v>4341.666666666667</v>
      </c>
      <c r="T25" s="17">
        <f>+K25*M25</f>
        <v>52100</v>
      </c>
      <c r="U25" s="17">
        <f t="shared" si="2"/>
        <v>52100</v>
      </c>
      <c r="V25" s="58">
        <f t="shared" si="4"/>
        <v>937800</v>
      </c>
      <c r="W25" s="106">
        <f t="shared" si="6"/>
        <v>39075</v>
      </c>
      <c r="X25" s="103">
        <f t="shared" si="8"/>
        <v>1002925</v>
      </c>
    </row>
    <row r="26" spans="1:26" s="25" customFormat="1" x14ac:dyDescent="0.25">
      <c r="A26" s="56"/>
      <c r="B26" s="22"/>
      <c r="C26" s="22"/>
      <c r="D26" s="5"/>
      <c r="E26" s="7"/>
      <c r="F26" s="17"/>
      <c r="G26" s="7"/>
      <c r="H26" s="17"/>
      <c r="I26" s="7"/>
      <c r="J26" s="5"/>
      <c r="K26" s="15"/>
      <c r="L26" s="7"/>
      <c r="M26" s="80"/>
      <c r="N26" s="19"/>
      <c r="O26" s="15"/>
      <c r="P26" s="17"/>
      <c r="Q26" s="17"/>
      <c r="R26" s="17"/>
      <c r="S26" s="17"/>
      <c r="T26" s="17"/>
      <c r="U26" s="17"/>
      <c r="V26" s="58">
        <f t="shared" si="4"/>
        <v>0</v>
      </c>
      <c r="W26" s="106"/>
      <c r="X26" s="103"/>
    </row>
    <row r="27" spans="1:26" x14ac:dyDescent="0.25">
      <c r="A27" s="56"/>
      <c r="B27" s="22"/>
      <c r="C27" s="22"/>
      <c r="D27" s="7"/>
      <c r="E27" s="7"/>
      <c r="F27" s="15"/>
      <c r="G27" s="7"/>
      <c r="H27" s="79"/>
      <c r="I27" s="7"/>
      <c r="J27" s="5"/>
      <c r="K27" s="15"/>
      <c r="L27" s="7"/>
      <c r="M27" s="18"/>
      <c r="N27" s="19"/>
      <c r="O27" s="17"/>
      <c r="P27" s="17"/>
      <c r="Q27" s="17"/>
      <c r="R27" s="17"/>
      <c r="S27" s="17"/>
      <c r="T27" s="17"/>
      <c r="U27" s="17"/>
      <c r="V27" s="58">
        <f t="shared" si="4"/>
        <v>0</v>
      </c>
      <c r="W27" s="87"/>
      <c r="X27" s="75"/>
    </row>
    <row r="28" spans="1:26" x14ac:dyDescent="0.25">
      <c r="A28" s="56"/>
      <c r="B28" s="22"/>
      <c r="C28" s="22"/>
      <c r="D28" s="7"/>
      <c r="E28" s="7"/>
      <c r="F28" s="15"/>
      <c r="G28" s="7"/>
      <c r="H28" s="7"/>
      <c r="I28" s="7"/>
      <c r="J28" s="5"/>
      <c r="K28" s="15"/>
      <c r="L28" s="7"/>
      <c r="M28" s="18"/>
      <c r="N28" s="19"/>
      <c r="O28" s="17"/>
      <c r="P28" s="17"/>
      <c r="Q28" s="21"/>
      <c r="R28" s="21"/>
      <c r="S28" s="21"/>
      <c r="T28" s="21"/>
      <c r="U28" s="17"/>
      <c r="V28" s="58">
        <f t="shared" si="4"/>
        <v>0</v>
      </c>
      <c r="W28" s="87"/>
      <c r="X28" s="75"/>
    </row>
    <row r="29" spans="1:26" x14ac:dyDescent="0.25">
      <c r="A29" s="56"/>
      <c r="B29" s="22"/>
      <c r="C29" s="22"/>
      <c r="D29" s="7"/>
      <c r="E29" s="7"/>
      <c r="F29" s="15"/>
      <c r="G29" s="7"/>
      <c r="H29" s="7"/>
      <c r="I29" s="7"/>
      <c r="J29" s="5"/>
      <c r="K29" s="15"/>
      <c r="L29" s="7"/>
      <c r="M29" s="18"/>
      <c r="N29" s="19"/>
      <c r="O29" s="17"/>
      <c r="P29" s="17"/>
      <c r="Q29" s="21"/>
      <c r="R29" s="21"/>
      <c r="S29" s="21"/>
      <c r="T29" s="21"/>
      <c r="U29" s="15"/>
      <c r="V29" s="58">
        <f t="shared" si="4"/>
        <v>0</v>
      </c>
      <c r="W29" s="87"/>
      <c r="X29" s="75"/>
      <c r="Y29" s="15"/>
      <c r="Z29" s="15"/>
    </row>
    <row r="30" spans="1:26" ht="15.75" thickBot="1" x14ac:dyDescent="0.3">
      <c r="A30" s="56"/>
      <c r="B30" s="22"/>
      <c r="C30" s="22"/>
      <c r="D30" s="7"/>
      <c r="E30" s="7"/>
      <c r="F30" s="15"/>
      <c r="G30" s="7"/>
      <c r="H30" s="17"/>
      <c r="I30" s="7"/>
      <c r="J30" s="5"/>
      <c r="K30" s="15"/>
      <c r="L30" s="7"/>
      <c r="M30" s="18"/>
      <c r="N30" s="19"/>
      <c r="O30" s="15"/>
      <c r="P30" s="17"/>
      <c r="Q30" s="17"/>
      <c r="R30" s="17"/>
      <c r="S30" s="17"/>
      <c r="T30" s="17"/>
      <c r="U30" s="21"/>
      <c r="V30" s="58">
        <f t="shared" si="4"/>
        <v>0</v>
      </c>
      <c r="W30" s="87"/>
      <c r="X30" s="88"/>
    </row>
    <row r="31" spans="1:26" ht="16.5" thickTop="1" thickBot="1" x14ac:dyDescent="0.3">
      <c r="A31" s="298" t="s">
        <v>12</v>
      </c>
      <c r="B31" s="298"/>
      <c r="C31" s="298"/>
      <c r="D31" s="298"/>
      <c r="E31" s="298"/>
      <c r="F31" s="117">
        <f>SUM(F10:F30)</f>
        <v>1836358.76</v>
      </c>
      <c r="G31" s="117"/>
      <c r="H31" s="117">
        <f t="shared" ref="H31:X31" si="9">SUM(H10:H30)</f>
        <v>0</v>
      </c>
      <c r="I31" s="117">
        <f t="shared" si="9"/>
        <v>0</v>
      </c>
      <c r="J31" s="117">
        <f t="shared" si="9"/>
        <v>0</v>
      </c>
      <c r="K31" s="124">
        <f t="shared" si="9"/>
        <v>1836358.76</v>
      </c>
      <c r="L31" s="118">
        <f t="shared" si="9"/>
        <v>0</v>
      </c>
      <c r="M31" s="118"/>
      <c r="N31" s="118"/>
      <c r="O31" s="117">
        <f t="shared" si="9"/>
        <v>83125.34</v>
      </c>
      <c r="P31" s="117">
        <f t="shared" si="9"/>
        <v>12946.11</v>
      </c>
      <c r="Q31" s="117">
        <f>SUM(Q10:Q30)</f>
        <v>1582.5075000000002</v>
      </c>
      <c r="R31" s="117">
        <f>SUM(R10:R30)</f>
        <v>92536.271823999996</v>
      </c>
      <c r="S31" s="117">
        <f t="shared" si="9"/>
        <v>7711.3559853333336</v>
      </c>
      <c r="T31" s="124">
        <f t="shared" si="9"/>
        <v>92536.271823999996</v>
      </c>
      <c r="U31" s="124">
        <f t="shared" si="9"/>
        <v>190190.22932400001</v>
      </c>
      <c r="V31" s="124">
        <f t="shared" si="9"/>
        <v>1649703.7088520001</v>
      </c>
      <c r="W31" s="117">
        <f t="shared" si="9"/>
        <v>69402.203867999997</v>
      </c>
      <c r="X31" s="117">
        <f t="shared" si="9"/>
        <v>1752574.0461320002</v>
      </c>
      <c r="Z31" s="15"/>
    </row>
    <row r="32" spans="1:26" ht="16.5" thickTop="1" thickBot="1" x14ac:dyDescent="0.3">
      <c r="A32" s="296" t="s">
        <v>356</v>
      </c>
      <c r="B32" s="297"/>
      <c r="C32" s="297"/>
      <c r="D32" s="297"/>
      <c r="E32" s="297"/>
      <c r="F32" s="121">
        <f>+F31</f>
        <v>1836358.76</v>
      </c>
      <c r="G32" s="121"/>
      <c r="H32" s="121"/>
      <c r="I32" s="121"/>
      <c r="J32" s="121">
        <f>SUM(J31)</f>
        <v>0</v>
      </c>
      <c r="K32" s="121">
        <f>+K31</f>
        <v>1836358.76</v>
      </c>
      <c r="L32" s="119"/>
      <c r="M32" s="119"/>
      <c r="N32" s="119"/>
      <c r="O32" s="121">
        <f>O31</f>
        <v>83125.34</v>
      </c>
      <c r="P32" s="121">
        <f>P31</f>
        <v>12946.11</v>
      </c>
      <c r="Q32" s="121">
        <f>+Q31</f>
        <v>1582.5075000000002</v>
      </c>
      <c r="R32" s="121"/>
      <c r="S32" s="121"/>
      <c r="T32" s="121"/>
      <c r="U32" s="121">
        <f>+U31</f>
        <v>190190.22932400001</v>
      </c>
      <c r="V32" s="120">
        <f>+V31</f>
        <v>1649703.7088520001</v>
      </c>
    </row>
    <row r="33" spans="1:24" ht="16.5" thickTop="1" thickBot="1" x14ac:dyDescent="0.3">
      <c r="A33" s="293" t="s">
        <v>291</v>
      </c>
      <c r="B33" s="294"/>
      <c r="C33" s="294"/>
      <c r="D33" s="294"/>
      <c r="E33" s="295"/>
      <c r="F33" s="116">
        <f>+F31-F32</f>
        <v>0</v>
      </c>
      <c r="G33" s="122"/>
      <c r="H33" s="123">
        <f>+H31-H32</f>
        <v>0</v>
      </c>
      <c r="I33" s="122"/>
      <c r="J33" s="122"/>
      <c r="K33" s="116">
        <f>+K31-K32</f>
        <v>0</v>
      </c>
      <c r="L33" s="288"/>
      <c r="M33" s="289"/>
      <c r="N33" s="290"/>
      <c r="O33" s="116">
        <f>+O31-O32</f>
        <v>0</v>
      </c>
      <c r="P33" s="116">
        <f>+P31-P32</f>
        <v>0</v>
      </c>
      <c r="Q33" s="116">
        <f>+Q31-Q32</f>
        <v>0</v>
      </c>
      <c r="R33" s="116"/>
      <c r="S33" s="122"/>
      <c r="T33" s="122"/>
      <c r="U33" s="116">
        <f>+U31-U32</f>
        <v>0</v>
      </c>
      <c r="V33" s="116">
        <f>+V31-V32</f>
        <v>0</v>
      </c>
      <c r="X33" s="15"/>
    </row>
    <row r="34" spans="1:24" ht="15.75" hidden="1" thickTop="1" x14ac:dyDescent="0.25">
      <c r="A34" s="127" t="s">
        <v>357</v>
      </c>
      <c r="P34" s="15"/>
      <c r="Q34" s="15"/>
      <c r="R34" s="15"/>
      <c r="V34" s="15"/>
    </row>
    <row r="35" spans="1:24" hidden="1" x14ac:dyDescent="0.25">
      <c r="V35" s="15"/>
      <c r="X35" s="15"/>
    </row>
    <row r="36" spans="1:24" hidden="1" x14ac:dyDescent="0.25">
      <c r="E36" s="125" t="s">
        <v>451</v>
      </c>
      <c r="V36" s="15"/>
      <c r="X36" s="15"/>
    </row>
    <row r="37" spans="1:24" ht="13.5" hidden="1" customHeight="1" x14ac:dyDescent="0.25">
      <c r="D37" s="65" t="s">
        <v>339</v>
      </c>
      <c r="E37" s="15">
        <v>1932430.21</v>
      </c>
    </row>
    <row r="38" spans="1:24" hidden="1" x14ac:dyDescent="0.25">
      <c r="D38" s="65" t="s">
        <v>462</v>
      </c>
      <c r="E38" s="15">
        <v>97653.96</v>
      </c>
      <c r="X38" s="15"/>
    </row>
    <row r="39" spans="1:24" hidden="1" x14ac:dyDescent="0.25">
      <c r="D39" s="179" t="s">
        <v>457</v>
      </c>
      <c r="E39" s="15">
        <f>+T31</f>
        <v>92536.271823999996</v>
      </c>
    </row>
    <row r="40" spans="1:24" hidden="1" x14ac:dyDescent="0.25">
      <c r="D40" s="186" t="s">
        <v>454</v>
      </c>
      <c r="E40" s="143">
        <f>+E37-E38-E39-V31</f>
        <v>92536.269323999994</v>
      </c>
    </row>
    <row r="41" spans="1:24" hidden="1" x14ac:dyDescent="0.25"/>
    <row r="42" spans="1:24" ht="15.75" thickTop="1" x14ac:dyDescent="0.25"/>
    <row r="43" spans="1:24" x14ac:dyDescent="0.25">
      <c r="R43" s="15"/>
    </row>
  </sheetData>
  <mergeCells count="29">
    <mergeCell ref="A31:E31"/>
    <mergeCell ref="A32:E32"/>
    <mergeCell ref="A33:E33"/>
    <mergeCell ref="L33:N33"/>
    <mergeCell ref="W6:W8"/>
    <mergeCell ref="Q7:Q8"/>
    <mergeCell ref="C6:C8"/>
    <mergeCell ref="X6:X8"/>
    <mergeCell ref="P7:P8"/>
    <mergeCell ref="S7:S8"/>
    <mergeCell ref="T7:T8"/>
    <mergeCell ref="J6:J8"/>
    <mergeCell ref="K6:K8"/>
    <mergeCell ref="L6:L8"/>
    <mergeCell ref="M6:N7"/>
    <mergeCell ref="O6:U6"/>
    <mergeCell ref="O7:O8"/>
    <mergeCell ref="U7:U8"/>
    <mergeCell ref="A3:V3"/>
    <mergeCell ref="A4:V4"/>
    <mergeCell ref="A6:A8"/>
    <mergeCell ref="B6:B8"/>
    <mergeCell ref="D6:D8"/>
    <mergeCell ref="E6:E8"/>
    <mergeCell ref="F6:F8"/>
    <mergeCell ref="G6:H7"/>
    <mergeCell ref="I6:I8"/>
    <mergeCell ref="V6:V8"/>
    <mergeCell ref="R7:R8"/>
  </mergeCells>
  <pageMargins left="0.25" right="0.25" top="0.75" bottom="0.75" header="0.3" footer="0.3"/>
  <pageSetup paperSize="9" scale="58" fitToHeight="0" orientation="landscape" r:id="rId1"/>
  <legacy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tabColor rgb="FF00B0F0"/>
    <pageSetUpPr fitToPage="1"/>
  </sheetPr>
  <dimension ref="A1:W25"/>
  <sheetViews>
    <sheetView topLeftCell="A9" zoomScaleNormal="100" workbookViewId="0">
      <selection activeCell="A10" sqref="A10:A12"/>
    </sheetView>
  </sheetViews>
  <sheetFormatPr defaultColWidth="9.140625" defaultRowHeight="15" x14ac:dyDescent="0.25"/>
  <cols>
    <col min="1" max="1" width="5.7109375" style="2" customWidth="1"/>
    <col min="2" max="3" width="7.28515625" style="2" customWidth="1"/>
    <col min="4" max="4" width="37.140625" style="2" customWidth="1"/>
    <col min="5" max="5" width="8.140625" style="2" customWidth="1"/>
    <col min="6" max="6" width="15.42578125" style="2" customWidth="1"/>
    <col min="7" max="7" width="7.85546875" style="2" customWidth="1"/>
    <col min="8" max="8" width="9.85546875" style="2" customWidth="1"/>
    <col min="9" max="10" width="7.42578125" style="2" customWidth="1"/>
    <col min="11" max="11" width="16.7109375" style="2" customWidth="1"/>
    <col min="12" max="12" width="15.7109375" style="2" customWidth="1"/>
    <col min="13" max="14" width="8.42578125" style="2" customWidth="1"/>
    <col min="15" max="15" width="12.42578125" style="2" customWidth="1"/>
    <col min="16" max="17" width="11.28515625" style="2" customWidth="1"/>
    <col min="18" max="18" width="20.42578125" style="2" bestFit="1" customWidth="1"/>
    <col min="19" max="19" width="20.28515625" style="2" bestFit="1" customWidth="1"/>
    <col min="20" max="20" width="13.140625" style="2" customWidth="1"/>
    <col min="21" max="21" width="18" style="2" customWidth="1"/>
    <col min="22" max="22" width="11.42578125" style="2" hidden="1" customWidth="1"/>
    <col min="23" max="23" width="14.85546875" style="2" hidden="1" customWidth="1"/>
    <col min="24" max="24" width="13.5703125" style="2" bestFit="1" customWidth="1"/>
    <col min="25" max="25" width="10.85546875" style="2" bestFit="1" customWidth="1"/>
    <col min="26" max="16384" width="9.140625" style="2"/>
  </cols>
  <sheetData>
    <row r="1" spans="1:23" x14ac:dyDescent="0.25">
      <c r="A1" s="113" t="s">
        <v>359</v>
      </c>
    </row>
    <row r="3" spans="1:23" x14ac:dyDescent="0.25">
      <c r="A3" s="299" t="s">
        <v>409</v>
      </c>
      <c r="B3" s="299"/>
      <c r="C3" s="299"/>
      <c r="D3" s="299"/>
      <c r="E3" s="299"/>
      <c r="F3" s="299"/>
      <c r="G3" s="299"/>
      <c r="H3" s="299"/>
      <c r="I3" s="299"/>
      <c r="J3" s="299"/>
      <c r="K3" s="299"/>
      <c r="L3" s="299"/>
      <c r="M3" s="299"/>
      <c r="N3" s="299"/>
      <c r="O3" s="299"/>
      <c r="P3" s="299"/>
      <c r="Q3" s="299"/>
      <c r="R3" s="299"/>
      <c r="S3" s="299"/>
      <c r="T3" s="299"/>
      <c r="U3" s="299"/>
    </row>
    <row r="4" spans="1:23" x14ac:dyDescent="0.25">
      <c r="A4" s="300" t="s">
        <v>221</v>
      </c>
      <c r="B4" s="300"/>
      <c r="C4" s="300"/>
      <c r="D4" s="300"/>
      <c r="E4" s="300"/>
      <c r="F4" s="300"/>
      <c r="G4" s="300"/>
      <c r="H4" s="300"/>
      <c r="I4" s="300"/>
      <c r="J4" s="300"/>
      <c r="K4" s="300"/>
      <c r="L4" s="300"/>
      <c r="M4" s="300"/>
      <c r="N4" s="300"/>
      <c r="O4" s="300"/>
      <c r="P4" s="300"/>
      <c r="Q4" s="300"/>
      <c r="R4" s="300"/>
      <c r="S4" s="300"/>
      <c r="T4" s="300"/>
      <c r="U4" s="300"/>
    </row>
    <row r="5" spans="1:23" ht="15.75" thickBot="1" x14ac:dyDescent="0.3">
      <c r="A5" s="71"/>
    </row>
    <row r="6" spans="1:23" ht="16.5" customHeight="1" thickTop="1" thickBot="1" x14ac:dyDescent="0.3">
      <c r="A6" s="283" t="s">
        <v>0</v>
      </c>
      <c r="B6" s="283" t="s">
        <v>332</v>
      </c>
      <c r="C6" s="283" t="s">
        <v>524</v>
      </c>
      <c r="D6" s="283" t="s">
        <v>1</v>
      </c>
      <c r="E6" s="283" t="s">
        <v>7</v>
      </c>
      <c r="F6" s="283" t="s">
        <v>414</v>
      </c>
      <c r="G6" s="284" t="s">
        <v>523</v>
      </c>
      <c r="H6" s="284"/>
      <c r="I6" s="283" t="s">
        <v>18</v>
      </c>
      <c r="J6" s="283" t="s">
        <v>19</v>
      </c>
      <c r="K6" s="284" t="s">
        <v>408</v>
      </c>
      <c r="L6" s="283" t="s">
        <v>4</v>
      </c>
      <c r="M6" s="283" t="s">
        <v>5</v>
      </c>
      <c r="N6" s="283"/>
      <c r="O6" s="283" t="s">
        <v>8</v>
      </c>
      <c r="P6" s="283"/>
      <c r="Q6" s="283"/>
      <c r="R6" s="283"/>
      <c r="S6" s="283"/>
      <c r="T6" s="283"/>
      <c r="U6" s="285" t="s">
        <v>413</v>
      </c>
      <c r="V6" s="285" t="s">
        <v>260</v>
      </c>
      <c r="W6" s="285" t="s">
        <v>261</v>
      </c>
    </row>
    <row r="7" spans="1:23" ht="25.5" customHeight="1" thickTop="1" thickBot="1" x14ac:dyDescent="0.3">
      <c r="A7" s="283"/>
      <c r="B7" s="283"/>
      <c r="C7" s="283"/>
      <c r="D7" s="283"/>
      <c r="E7" s="283"/>
      <c r="F7" s="283"/>
      <c r="G7" s="284"/>
      <c r="H7" s="284"/>
      <c r="I7" s="283"/>
      <c r="J7" s="283"/>
      <c r="K7" s="284"/>
      <c r="L7" s="283"/>
      <c r="M7" s="283"/>
      <c r="N7" s="283"/>
      <c r="O7" s="283" t="s">
        <v>6</v>
      </c>
      <c r="P7" s="291" t="s">
        <v>254</v>
      </c>
      <c r="Q7" s="291" t="s">
        <v>410</v>
      </c>
      <c r="R7" s="285" t="s">
        <v>411</v>
      </c>
      <c r="S7" s="285" t="s">
        <v>412</v>
      </c>
      <c r="T7" s="283" t="s">
        <v>265</v>
      </c>
      <c r="U7" s="286"/>
      <c r="V7" s="286"/>
      <c r="W7" s="286"/>
    </row>
    <row r="8" spans="1:23" ht="38.25" customHeight="1" thickTop="1" thickBot="1" x14ac:dyDescent="0.3">
      <c r="A8" s="283"/>
      <c r="B8" s="283"/>
      <c r="C8" s="283"/>
      <c r="D8" s="283"/>
      <c r="E8" s="283"/>
      <c r="F8" s="283"/>
      <c r="G8" s="154" t="s">
        <v>2</v>
      </c>
      <c r="H8" s="154" t="s">
        <v>3</v>
      </c>
      <c r="I8" s="283"/>
      <c r="J8" s="283"/>
      <c r="K8" s="284"/>
      <c r="L8" s="283"/>
      <c r="M8" s="154" t="s">
        <v>256</v>
      </c>
      <c r="N8" s="154" t="s">
        <v>255</v>
      </c>
      <c r="O8" s="283"/>
      <c r="P8" s="292"/>
      <c r="Q8" s="292"/>
      <c r="R8" s="287"/>
      <c r="S8" s="287"/>
      <c r="T8" s="283"/>
      <c r="U8" s="287"/>
      <c r="V8" s="287"/>
      <c r="W8" s="287"/>
    </row>
    <row r="9" spans="1:23" ht="16.5" thickTop="1" thickBot="1" x14ac:dyDescent="0.3">
      <c r="A9" s="74">
        <v>1</v>
      </c>
      <c r="B9" s="74">
        <v>2</v>
      </c>
      <c r="C9" s="74">
        <v>3</v>
      </c>
      <c r="D9" s="74">
        <v>4</v>
      </c>
      <c r="E9" s="74">
        <v>5</v>
      </c>
      <c r="F9" s="74">
        <v>6</v>
      </c>
      <c r="G9" s="74">
        <v>7</v>
      </c>
      <c r="H9" s="74">
        <v>8</v>
      </c>
      <c r="I9" s="74">
        <v>9</v>
      </c>
      <c r="J9" s="74">
        <v>10</v>
      </c>
      <c r="K9" s="74">
        <v>11</v>
      </c>
      <c r="L9" s="74">
        <v>12</v>
      </c>
      <c r="M9" s="74">
        <v>13</v>
      </c>
      <c r="N9" s="74">
        <v>14</v>
      </c>
      <c r="O9" s="74">
        <v>15</v>
      </c>
      <c r="P9" s="74">
        <v>16</v>
      </c>
      <c r="Q9" s="74">
        <v>17</v>
      </c>
      <c r="R9" s="74">
        <v>18</v>
      </c>
      <c r="S9" s="74">
        <v>19</v>
      </c>
      <c r="T9" s="74">
        <v>20</v>
      </c>
      <c r="U9" s="74">
        <v>21</v>
      </c>
      <c r="V9" s="74">
        <v>22</v>
      </c>
      <c r="W9" s="74">
        <v>23</v>
      </c>
    </row>
    <row r="10" spans="1:23" ht="15.75" thickTop="1" x14ac:dyDescent="0.25">
      <c r="A10" s="255">
        <v>1</v>
      </c>
      <c r="B10" s="23" t="s">
        <v>222</v>
      </c>
      <c r="C10" s="23"/>
      <c r="D10" s="24" t="s">
        <v>223</v>
      </c>
      <c r="E10" s="6">
        <v>1</v>
      </c>
      <c r="F10" s="14">
        <v>20000</v>
      </c>
      <c r="G10" s="6"/>
      <c r="H10" s="6"/>
      <c r="I10" s="6"/>
      <c r="J10" s="16"/>
      <c r="K10" s="14">
        <v>20000</v>
      </c>
      <c r="L10" s="6">
        <v>0</v>
      </c>
      <c r="M10" s="10">
        <v>0</v>
      </c>
      <c r="N10" s="11">
        <v>0</v>
      </c>
      <c r="O10" s="16">
        <v>0</v>
      </c>
      <c r="P10" s="16">
        <v>0</v>
      </c>
      <c r="Q10" s="16"/>
      <c r="R10" s="16"/>
      <c r="S10" s="16">
        <v>0</v>
      </c>
      <c r="T10" s="16">
        <v>0</v>
      </c>
      <c r="U10" s="109">
        <v>20000</v>
      </c>
      <c r="V10" s="81"/>
      <c r="W10" s="77">
        <f>U10</f>
        <v>20000</v>
      </c>
    </row>
    <row r="11" spans="1:23" x14ac:dyDescent="0.25">
      <c r="A11" s="256">
        <v>2</v>
      </c>
      <c r="B11" s="22" t="s">
        <v>222</v>
      </c>
      <c r="C11" s="22"/>
      <c r="D11" s="5" t="s">
        <v>224</v>
      </c>
      <c r="E11" s="7">
        <v>1</v>
      </c>
      <c r="F11" s="15">
        <v>20000</v>
      </c>
      <c r="G11" s="7"/>
      <c r="H11" s="7"/>
      <c r="I11" s="7"/>
      <c r="J11" s="5"/>
      <c r="K11" s="15">
        <v>20000</v>
      </c>
      <c r="L11" s="7"/>
      <c r="M11" s="18"/>
      <c r="N11" s="19"/>
      <c r="O11" s="15"/>
      <c r="P11" s="17"/>
      <c r="Q11" s="17"/>
      <c r="R11" s="17"/>
      <c r="S11" s="17"/>
      <c r="T11" s="15"/>
      <c r="U11" s="58">
        <v>20000</v>
      </c>
      <c r="V11" s="82"/>
      <c r="W11" s="75">
        <f>U11</f>
        <v>20000</v>
      </c>
    </row>
    <row r="12" spans="1:23" x14ac:dyDescent="0.25">
      <c r="A12" s="256">
        <v>3</v>
      </c>
      <c r="B12" s="22" t="s">
        <v>222</v>
      </c>
      <c r="C12" s="22"/>
      <c r="D12" s="5" t="s">
        <v>225</v>
      </c>
      <c r="E12" s="7">
        <v>1</v>
      </c>
      <c r="F12" s="15">
        <v>20000</v>
      </c>
      <c r="G12" s="7"/>
      <c r="H12" s="7"/>
      <c r="I12" s="7"/>
      <c r="J12" s="5"/>
      <c r="K12" s="15">
        <v>20000</v>
      </c>
      <c r="L12" s="7"/>
      <c r="M12" s="18"/>
      <c r="N12" s="19"/>
      <c r="O12" s="15"/>
      <c r="P12" s="17"/>
      <c r="Q12" s="17"/>
      <c r="R12" s="17"/>
      <c r="S12" s="17"/>
      <c r="T12" s="15"/>
      <c r="U12" s="58">
        <v>20000</v>
      </c>
      <c r="V12" s="82"/>
      <c r="W12" s="75">
        <f>U12</f>
        <v>20000</v>
      </c>
    </row>
    <row r="13" spans="1:23" x14ac:dyDescent="0.25">
      <c r="A13" s="5"/>
      <c r="B13" s="22"/>
      <c r="C13" s="22"/>
      <c r="D13" s="5"/>
      <c r="E13" s="7"/>
      <c r="F13" s="15"/>
      <c r="G13" s="7"/>
      <c r="H13" s="7"/>
      <c r="I13" s="7"/>
      <c r="J13" s="5"/>
      <c r="K13" s="15"/>
      <c r="L13" s="7"/>
      <c r="M13" s="18"/>
      <c r="N13" s="19"/>
      <c r="O13" s="15"/>
      <c r="P13" s="17"/>
      <c r="Q13" s="17"/>
      <c r="R13" s="17"/>
      <c r="S13" s="17"/>
      <c r="T13" s="17"/>
      <c r="U13" s="58"/>
      <c r="V13" s="82"/>
      <c r="W13" s="75"/>
    </row>
    <row r="14" spans="1:23" ht="15.75" thickBot="1" x14ac:dyDescent="0.3">
      <c r="A14" s="5"/>
      <c r="B14" s="22"/>
      <c r="C14" s="22"/>
      <c r="D14" s="5"/>
      <c r="E14" s="7"/>
      <c r="F14" s="15"/>
      <c r="G14" s="7"/>
      <c r="H14" s="7"/>
      <c r="I14" s="7"/>
      <c r="J14" s="5"/>
      <c r="K14" s="15"/>
      <c r="L14" s="7"/>
      <c r="M14" s="18"/>
      <c r="N14" s="19"/>
      <c r="O14" s="15"/>
      <c r="P14" s="17"/>
      <c r="Q14" s="17"/>
      <c r="R14" s="17"/>
      <c r="S14" s="17"/>
      <c r="T14" s="15"/>
      <c r="U14" s="146"/>
      <c r="V14" s="82"/>
      <c r="W14" s="83"/>
    </row>
    <row r="15" spans="1:23" ht="16.5" thickTop="1" thickBot="1" x14ac:dyDescent="0.3">
      <c r="A15" s="298" t="s">
        <v>12</v>
      </c>
      <c r="B15" s="298"/>
      <c r="C15" s="298"/>
      <c r="D15" s="298"/>
      <c r="E15" s="298"/>
      <c r="F15" s="117">
        <f>SUM(F10:F14)</f>
        <v>60000</v>
      </c>
      <c r="G15" s="117">
        <f t="shared" ref="G15:W15" si="0">SUM(G10:G14)</f>
        <v>0</v>
      </c>
      <c r="H15" s="117">
        <f t="shared" si="0"/>
        <v>0</v>
      </c>
      <c r="I15" s="117">
        <f t="shared" si="0"/>
        <v>0</v>
      </c>
      <c r="J15" s="117">
        <f t="shared" si="0"/>
        <v>0</v>
      </c>
      <c r="K15" s="124">
        <f t="shared" si="0"/>
        <v>60000</v>
      </c>
      <c r="L15" s="118">
        <f t="shared" si="0"/>
        <v>0</v>
      </c>
      <c r="M15" s="118">
        <f t="shared" si="0"/>
        <v>0</v>
      </c>
      <c r="N15" s="118">
        <f t="shared" si="0"/>
        <v>0</v>
      </c>
      <c r="O15" s="117">
        <f t="shared" si="0"/>
        <v>0</v>
      </c>
      <c r="P15" s="117">
        <f t="shared" si="0"/>
        <v>0</v>
      </c>
      <c r="Q15" s="117"/>
      <c r="R15" s="117">
        <f t="shared" si="0"/>
        <v>0</v>
      </c>
      <c r="S15" s="124">
        <f t="shared" si="0"/>
        <v>0</v>
      </c>
      <c r="T15" s="124">
        <f t="shared" si="0"/>
        <v>0</v>
      </c>
      <c r="U15" s="124">
        <f t="shared" si="0"/>
        <v>60000</v>
      </c>
      <c r="V15" s="117">
        <f t="shared" si="0"/>
        <v>0</v>
      </c>
      <c r="W15" s="117">
        <f t="shared" si="0"/>
        <v>60000</v>
      </c>
    </row>
    <row r="16" spans="1:23" ht="16.5" thickTop="1" thickBot="1" x14ac:dyDescent="0.3">
      <c r="A16" s="296" t="s">
        <v>400</v>
      </c>
      <c r="B16" s="297"/>
      <c r="C16" s="297"/>
      <c r="D16" s="297"/>
      <c r="E16" s="297"/>
      <c r="F16" s="121">
        <v>60000</v>
      </c>
      <c r="G16" s="121"/>
      <c r="H16" s="121"/>
      <c r="I16" s="121"/>
      <c r="J16" s="121">
        <f>SUM(J15)</f>
        <v>0</v>
      </c>
      <c r="K16" s="121">
        <f>+F16+H16+J16</f>
        <v>60000</v>
      </c>
      <c r="L16" s="119"/>
      <c r="M16" s="119"/>
      <c r="N16" s="119"/>
      <c r="O16" s="121">
        <f>O15</f>
        <v>0</v>
      </c>
      <c r="P16" s="121">
        <f>P15</f>
        <v>0</v>
      </c>
      <c r="Q16" s="121"/>
      <c r="R16" s="121"/>
      <c r="S16" s="121"/>
      <c r="T16" s="121">
        <f>+O16+P16+S15</f>
        <v>0</v>
      </c>
      <c r="U16" s="120">
        <f>+K16-T16</f>
        <v>60000</v>
      </c>
    </row>
    <row r="17" spans="1:21" ht="16.5" thickTop="1" thickBot="1" x14ac:dyDescent="0.3">
      <c r="A17" s="293" t="s">
        <v>291</v>
      </c>
      <c r="B17" s="294"/>
      <c r="C17" s="294"/>
      <c r="D17" s="294"/>
      <c r="E17" s="295"/>
      <c r="F17" s="116">
        <f>+F15-F16</f>
        <v>0</v>
      </c>
      <c r="G17" s="122"/>
      <c r="H17" s="123">
        <f>+H15-H16</f>
        <v>0</v>
      </c>
      <c r="I17" s="122"/>
      <c r="J17" s="122"/>
      <c r="K17" s="116">
        <f>+K15-K16</f>
        <v>0</v>
      </c>
      <c r="L17" s="288"/>
      <c r="M17" s="289"/>
      <c r="N17" s="290"/>
      <c r="O17" s="116">
        <f>+O15-O16</f>
        <v>0</v>
      </c>
      <c r="P17" s="116">
        <f>+P15-P16</f>
        <v>0</v>
      </c>
      <c r="Q17" s="116"/>
      <c r="R17" s="122"/>
      <c r="S17" s="122"/>
      <c r="T17" s="116">
        <f>+T15-T16</f>
        <v>0</v>
      </c>
      <c r="U17" s="116">
        <f>+U15-U16</f>
        <v>0</v>
      </c>
    </row>
    <row r="18" spans="1:21" ht="15.75" thickTop="1" x14ac:dyDescent="0.25">
      <c r="K18" s="15"/>
    </row>
    <row r="25" spans="1:21" x14ac:dyDescent="0.25">
      <c r="A25" s="69"/>
    </row>
  </sheetData>
  <mergeCells count="28">
    <mergeCell ref="A15:E15"/>
    <mergeCell ref="A16:E16"/>
    <mergeCell ref="A17:E17"/>
    <mergeCell ref="L17:N17"/>
    <mergeCell ref="V6:V8"/>
    <mergeCell ref="Q7:Q8"/>
    <mergeCell ref="C6:C8"/>
    <mergeCell ref="W6:W8"/>
    <mergeCell ref="P7:P8"/>
    <mergeCell ref="R7:R8"/>
    <mergeCell ref="S7:S8"/>
    <mergeCell ref="J6:J8"/>
    <mergeCell ref="K6:K8"/>
    <mergeCell ref="L6:L8"/>
    <mergeCell ref="M6:N7"/>
    <mergeCell ref="O6:T6"/>
    <mergeCell ref="O7:O8"/>
    <mergeCell ref="T7:T8"/>
    <mergeCell ref="A3:U3"/>
    <mergeCell ref="A4:U4"/>
    <mergeCell ref="A6:A8"/>
    <mergeCell ref="B6:B8"/>
    <mergeCell ref="D6:D8"/>
    <mergeCell ref="E6:E8"/>
    <mergeCell ref="F6:F8"/>
    <mergeCell ref="G6:H7"/>
    <mergeCell ref="I6:I8"/>
    <mergeCell ref="U6:U8"/>
  </mergeCells>
  <pageMargins left="0.25" right="0.25" top="0.75" bottom="0.75" header="0.3" footer="0.3"/>
  <pageSetup paperSize="9" scale="54" fitToHeight="0" orientation="landscape" r:id="rId1"/>
  <legacy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FB4D55-D32F-47F7-BCEB-F9C4BB83E3C5}">
  <sheetPr>
    <tabColor rgb="FF00B0F0"/>
    <pageSetUpPr fitToPage="1"/>
  </sheetPr>
  <dimension ref="A1:W25"/>
  <sheetViews>
    <sheetView zoomScaleNormal="100" workbookViewId="0">
      <selection activeCell="G28" sqref="G28"/>
    </sheetView>
  </sheetViews>
  <sheetFormatPr defaultColWidth="9.140625" defaultRowHeight="15" x14ac:dyDescent="0.25"/>
  <cols>
    <col min="1" max="1" width="5.7109375" style="2" customWidth="1"/>
    <col min="2" max="3" width="7.28515625" style="2" customWidth="1"/>
    <col min="4" max="4" width="37.140625" style="2" customWidth="1"/>
    <col min="5" max="5" width="8.140625" style="2" customWidth="1"/>
    <col min="6" max="6" width="15.42578125" style="2" customWidth="1"/>
    <col min="7" max="7" width="7.85546875" style="2" customWidth="1"/>
    <col min="8" max="8" width="9.85546875" style="2" customWidth="1"/>
    <col min="9" max="10" width="7.42578125" style="2" customWidth="1"/>
    <col min="11" max="11" width="16.7109375" style="2" customWidth="1"/>
    <col min="12" max="12" width="15.7109375" style="2" customWidth="1"/>
    <col min="13" max="14" width="8.42578125" style="2" customWidth="1"/>
    <col min="15" max="15" width="12.42578125" style="2" customWidth="1"/>
    <col min="16" max="17" width="11.28515625" style="2" customWidth="1"/>
    <col min="18" max="18" width="20.42578125" style="2" bestFit="1" customWidth="1"/>
    <col min="19" max="19" width="20.28515625" style="2" bestFit="1" customWidth="1"/>
    <col min="20" max="20" width="13.140625" style="2" customWidth="1"/>
    <col min="21" max="21" width="18" style="2" customWidth="1"/>
    <col min="22" max="22" width="11.42578125" style="2" hidden="1" customWidth="1"/>
    <col min="23" max="23" width="14.85546875" style="2" hidden="1" customWidth="1"/>
    <col min="24" max="24" width="13.5703125" style="2" bestFit="1" customWidth="1"/>
    <col min="25" max="25" width="10.85546875" style="2" bestFit="1" customWidth="1"/>
    <col min="26" max="16384" width="9.140625" style="2"/>
  </cols>
  <sheetData>
    <row r="1" spans="1:23" x14ac:dyDescent="0.25">
      <c r="A1" s="113" t="s">
        <v>359</v>
      </c>
    </row>
    <row r="3" spans="1:23" x14ac:dyDescent="0.25">
      <c r="A3" s="299" t="s">
        <v>409</v>
      </c>
      <c r="B3" s="299"/>
      <c r="C3" s="299"/>
      <c r="D3" s="299"/>
      <c r="E3" s="299"/>
      <c r="F3" s="299"/>
      <c r="G3" s="299"/>
      <c r="H3" s="299"/>
      <c r="I3" s="299"/>
      <c r="J3" s="299"/>
      <c r="K3" s="299"/>
      <c r="L3" s="299"/>
      <c r="M3" s="299"/>
      <c r="N3" s="299"/>
      <c r="O3" s="299"/>
      <c r="P3" s="299"/>
      <c r="Q3" s="299"/>
      <c r="R3" s="299"/>
      <c r="S3" s="299"/>
      <c r="T3" s="299"/>
      <c r="U3" s="299"/>
    </row>
    <row r="4" spans="1:23" x14ac:dyDescent="0.25">
      <c r="A4" s="300" t="s">
        <v>396</v>
      </c>
      <c r="B4" s="300"/>
      <c r="C4" s="300"/>
      <c r="D4" s="300"/>
      <c r="E4" s="300"/>
      <c r="F4" s="300"/>
      <c r="G4" s="300"/>
      <c r="H4" s="300"/>
      <c r="I4" s="300"/>
      <c r="J4" s="300"/>
      <c r="K4" s="300"/>
      <c r="L4" s="300"/>
      <c r="M4" s="300"/>
      <c r="N4" s="300"/>
      <c r="O4" s="300"/>
      <c r="P4" s="300"/>
      <c r="Q4" s="300"/>
      <c r="R4" s="300"/>
      <c r="S4" s="300"/>
      <c r="T4" s="300"/>
      <c r="U4" s="300"/>
    </row>
    <row r="5" spans="1:23" ht="15.75" thickBot="1" x14ac:dyDescent="0.3">
      <c r="A5" s="71"/>
    </row>
    <row r="6" spans="1:23" ht="16.5" customHeight="1" thickTop="1" thickBot="1" x14ac:dyDescent="0.3">
      <c r="A6" s="283" t="s">
        <v>0</v>
      </c>
      <c r="B6" s="283" t="s">
        <v>332</v>
      </c>
      <c r="C6" s="283" t="s">
        <v>524</v>
      </c>
      <c r="D6" s="283" t="s">
        <v>1</v>
      </c>
      <c r="E6" s="283" t="s">
        <v>7</v>
      </c>
      <c r="F6" s="283" t="s">
        <v>414</v>
      </c>
      <c r="G6" s="284" t="s">
        <v>523</v>
      </c>
      <c r="H6" s="284"/>
      <c r="I6" s="283" t="s">
        <v>18</v>
      </c>
      <c r="J6" s="283" t="s">
        <v>19</v>
      </c>
      <c r="K6" s="284" t="s">
        <v>408</v>
      </c>
      <c r="L6" s="283" t="s">
        <v>4</v>
      </c>
      <c r="M6" s="283" t="s">
        <v>5</v>
      </c>
      <c r="N6" s="283"/>
      <c r="O6" s="283" t="s">
        <v>8</v>
      </c>
      <c r="P6" s="283"/>
      <c r="Q6" s="283"/>
      <c r="R6" s="283"/>
      <c r="S6" s="283"/>
      <c r="T6" s="283"/>
      <c r="U6" s="285" t="s">
        <v>413</v>
      </c>
      <c r="V6" s="285" t="s">
        <v>260</v>
      </c>
      <c r="W6" s="285" t="s">
        <v>261</v>
      </c>
    </row>
    <row r="7" spans="1:23" ht="25.5" customHeight="1" thickTop="1" thickBot="1" x14ac:dyDescent="0.3">
      <c r="A7" s="283"/>
      <c r="B7" s="283"/>
      <c r="C7" s="283"/>
      <c r="D7" s="283"/>
      <c r="E7" s="283"/>
      <c r="F7" s="283"/>
      <c r="G7" s="284"/>
      <c r="H7" s="284"/>
      <c r="I7" s="283"/>
      <c r="J7" s="283"/>
      <c r="K7" s="284"/>
      <c r="L7" s="283"/>
      <c r="M7" s="283"/>
      <c r="N7" s="283"/>
      <c r="O7" s="283" t="s">
        <v>6</v>
      </c>
      <c r="P7" s="291" t="s">
        <v>254</v>
      </c>
      <c r="Q7" s="291" t="s">
        <v>410</v>
      </c>
      <c r="R7" s="285" t="s">
        <v>411</v>
      </c>
      <c r="S7" s="285" t="s">
        <v>412</v>
      </c>
      <c r="T7" s="283" t="s">
        <v>265</v>
      </c>
      <c r="U7" s="286"/>
      <c r="V7" s="286"/>
      <c r="W7" s="286"/>
    </row>
    <row r="8" spans="1:23" ht="38.25" customHeight="1" thickTop="1" thickBot="1" x14ac:dyDescent="0.3">
      <c r="A8" s="283"/>
      <c r="B8" s="283"/>
      <c r="C8" s="283"/>
      <c r="D8" s="283"/>
      <c r="E8" s="283"/>
      <c r="F8" s="283"/>
      <c r="G8" s="154" t="s">
        <v>2</v>
      </c>
      <c r="H8" s="154" t="s">
        <v>3</v>
      </c>
      <c r="I8" s="283"/>
      <c r="J8" s="283"/>
      <c r="K8" s="284"/>
      <c r="L8" s="283"/>
      <c r="M8" s="154" t="s">
        <v>256</v>
      </c>
      <c r="N8" s="154" t="s">
        <v>255</v>
      </c>
      <c r="O8" s="283"/>
      <c r="P8" s="292"/>
      <c r="Q8" s="292"/>
      <c r="R8" s="287"/>
      <c r="S8" s="287"/>
      <c r="T8" s="283"/>
      <c r="U8" s="287"/>
      <c r="V8" s="287"/>
      <c r="W8" s="287"/>
    </row>
    <row r="9" spans="1:23" ht="16.5" thickTop="1" thickBot="1" x14ac:dyDescent="0.3">
      <c r="A9" s="74">
        <v>1</v>
      </c>
      <c r="B9" s="74">
        <v>2</v>
      </c>
      <c r="C9" s="74">
        <v>3</v>
      </c>
      <c r="D9" s="74">
        <v>4</v>
      </c>
      <c r="E9" s="74">
        <v>5</v>
      </c>
      <c r="F9" s="74">
        <v>6</v>
      </c>
      <c r="G9" s="74">
        <v>7</v>
      </c>
      <c r="H9" s="74">
        <v>8</v>
      </c>
      <c r="I9" s="74">
        <v>9</v>
      </c>
      <c r="J9" s="74">
        <v>10</v>
      </c>
      <c r="K9" s="74">
        <v>11</v>
      </c>
      <c r="L9" s="74">
        <v>12</v>
      </c>
      <c r="M9" s="74">
        <v>13</v>
      </c>
      <c r="N9" s="74">
        <v>14</v>
      </c>
      <c r="O9" s="74">
        <v>15</v>
      </c>
      <c r="P9" s="74">
        <v>16</v>
      </c>
      <c r="Q9" s="74">
        <v>17</v>
      </c>
      <c r="R9" s="74">
        <v>18</v>
      </c>
      <c r="S9" s="74">
        <v>19</v>
      </c>
      <c r="T9" s="74">
        <v>20</v>
      </c>
      <c r="U9" s="74">
        <v>21</v>
      </c>
      <c r="V9" s="74">
        <v>20</v>
      </c>
      <c r="W9" s="74">
        <v>21</v>
      </c>
    </row>
    <row r="10" spans="1:23" ht="15.75" thickTop="1" x14ac:dyDescent="0.25">
      <c r="A10" s="255">
        <v>1</v>
      </c>
      <c r="B10" s="23" t="s">
        <v>397</v>
      </c>
      <c r="C10" s="23"/>
      <c r="D10" s="24" t="s">
        <v>398</v>
      </c>
      <c r="E10" s="6">
        <v>1</v>
      </c>
      <c r="F10" s="14">
        <v>5000000</v>
      </c>
      <c r="G10" s="6"/>
      <c r="H10" s="6"/>
      <c r="I10" s="6"/>
      <c r="J10" s="16"/>
      <c r="K10" s="14">
        <v>5000000</v>
      </c>
      <c r="L10" s="6">
        <v>0</v>
      </c>
      <c r="M10" s="10">
        <v>0</v>
      </c>
      <c r="N10" s="11">
        <v>0</v>
      </c>
      <c r="O10" s="16">
        <v>0</v>
      </c>
      <c r="P10" s="16">
        <v>0</v>
      </c>
      <c r="Q10" s="16"/>
      <c r="R10" s="16"/>
      <c r="S10" s="16">
        <v>0</v>
      </c>
      <c r="T10" s="16">
        <v>0</v>
      </c>
      <c r="U10" s="109">
        <f>K10</f>
        <v>5000000</v>
      </c>
      <c r="V10" s="81"/>
      <c r="W10" s="77">
        <f>U10</f>
        <v>5000000</v>
      </c>
    </row>
    <row r="11" spans="1:23" x14ac:dyDescent="0.25">
      <c r="A11" s="256">
        <v>2</v>
      </c>
      <c r="B11" s="22" t="s">
        <v>397</v>
      </c>
      <c r="C11" s="22"/>
      <c r="D11" s="5"/>
      <c r="E11" s="7">
        <v>1</v>
      </c>
      <c r="F11" s="15"/>
      <c r="G11" s="7"/>
      <c r="H11" s="7"/>
      <c r="I11" s="7"/>
      <c r="J11" s="5"/>
      <c r="K11" s="15"/>
      <c r="L11" s="7"/>
      <c r="M11" s="18"/>
      <c r="N11" s="19"/>
      <c r="O11" s="15"/>
      <c r="P11" s="17"/>
      <c r="Q11" s="17"/>
      <c r="R11" s="17"/>
      <c r="S11" s="17"/>
      <c r="T11" s="15"/>
      <c r="U11" s="58"/>
      <c r="V11" s="82"/>
      <c r="W11" s="75">
        <f>U11</f>
        <v>0</v>
      </c>
    </row>
    <row r="12" spans="1:23" x14ac:dyDescent="0.25">
      <c r="A12" s="256">
        <v>3</v>
      </c>
      <c r="B12" s="22" t="s">
        <v>397</v>
      </c>
      <c r="C12" s="22"/>
      <c r="D12" s="5"/>
      <c r="E12" s="7">
        <v>1</v>
      </c>
      <c r="F12" s="15"/>
      <c r="G12" s="7"/>
      <c r="H12" s="7"/>
      <c r="I12" s="7"/>
      <c r="J12" s="5"/>
      <c r="K12" s="15"/>
      <c r="L12" s="7"/>
      <c r="M12" s="18"/>
      <c r="N12" s="19"/>
      <c r="O12" s="15"/>
      <c r="P12" s="17"/>
      <c r="Q12" s="17"/>
      <c r="R12" s="17"/>
      <c r="S12" s="17"/>
      <c r="T12" s="15"/>
      <c r="U12" s="58"/>
      <c r="V12" s="82"/>
      <c r="W12" s="75">
        <f>U12</f>
        <v>0</v>
      </c>
    </row>
    <row r="13" spans="1:23" x14ac:dyDescent="0.25">
      <c r="A13" s="5"/>
      <c r="B13" s="22"/>
      <c r="C13" s="22"/>
      <c r="D13" s="5"/>
      <c r="E13" s="7"/>
      <c r="F13" s="15"/>
      <c r="G13" s="7"/>
      <c r="H13" s="7"/>
      <c r="I13" s="7"/>
      <c r="J13" s="5"/>
      <c r="K13" s="15"/>
      <c r="L13" s="7"/>
      <c r="M13" s="18"/>
      <c r="N13" s="19"/>
      <c r="O13" s="15"/>
      <c r="P13" s="17"/>
      <c r="Q13" s="17"/>
      <c r="R13" s="17"/>
      <c r="S13" s="17"/>
      <c r="T13" s="17"/>
      <c r="U13" s="58"/>
      <c r="V13" s="82"/>
      <c r="W13" s="75"/>
    </row>
    <row r="14" spans="1:23" ht="15.75" thickBot="1" x14ac:dyDescent="0.3">
      <c r="A14" s="5"/>
      <c r="B14" s="22"/>
      <c r="C14" s="22"/>
      <c r="D14" s="5"/>
      <c r="E14" s="7"/>
      <c r="F14" s="15"/>
      <c r="G14" s="7"/>
      <c r="H14" s="7"/>
      <c r="I14" s="7"/>
      <c r="J14" s="5"/>
      <c r="K14" s="15"/>
      <c r="L14" s="7"/>
      <c r="M14" s="18"/>
      <c r="N14" s="19"/>
      <c r="O14" s="15"/>
      <c r="P14" s="17"/>
      <c r="Q14" s="17"/>
      <c r="R14" s="17"/>
      <c r="S14" s="17"/>
      <c r="T14" s="15"/>
      <c r="U14" s="146"/>
      <c r="V14" s="82"/>
      <c r="W14" s="83"/>
    </row>
    <row r="15" spans="1:23" ht="16.5" thickTop="1" thickBot="1" x14ac:dyDescent="0.3">
      <c r="A15" s="298" t="s">
        <v>12</v>
      </c>
      <c r="B15" s="298"/>
      <c r="C15" s="298"/>
      <c r="D15" s="298"/>
      <c r="E15" s="298"/>
      <c r="F15" s="117">
        <f>SUM(F10:F14)</f>
        <v>5000000</v>
      </c>
      <c r="G15" s="117">
        <f t="shared" ref="G15:W15" si="0">SUM(G10:G14)</f>
        <v>0</v>
      </c>
      <c r="H15" s="117">
        <f t="shared" si="0"/>
        <v>0</v>
      </c>
      <c r="I15" s="117">
        <f t="shared" si="0"/>
        <v>0</v>
      </c>
      <c r="J15" s="117">
        <f t="shared" si="0"/>
        <v>0</v>
      </c>
      <c r="K15" s="124">
        <f t="shared" si="0"/>
        <v>5000000</v>
      </c>
      <c r="L15" s="118">
        <f t="shared" si="0"/>
        <v>0</v>
      </c>
      <c r="M15" s="118">
        <f t="shared" si="0"/>
        <v>0</v>
      </c>
      <c r="N15" s="118">
        <f t="shared" si="0"/>
        <v>0</v>
      </c>
      <c r="O15" s="117">
        <f t="shared" si="0"/>
        <v>0</v>
      </c>
      <c r="P15" s="117">
        <f t="shared" si="0"/>
        <v>0</v>
      </c>
      <c r="Q15" s="117"/>
      <c r="R15" s="117">
        <f t="shared" si="0"/>
        <v>0</v>
      </c>
      <c r="S15" s="124">
        <f t="shared" si="0"/>
        <v>0</v>
      </c>
      <c r="T15" s="124">
        <f t="shared" si="0"/>
        <v>0</v>
      </c>
      <c r="U15" s="124">
        <f t="shared" si="0"/>
        <v>5000000</v>
      </c>
      <c r="V15" s="117">
        <f t="shared" si="0"/>
        <v>0</v>
      </c>
      <c r="W15" s="117">
        <f t="shared" si="0"/>
        <v>5000000</v>
      </c>
    </row>
    <row r="16" spans="1:23" ht="16.5" thickTop="1" thickBot="1" x14ac:dyDescent="0.3">
      <c r="A16" s="296" t="s">
        <v>399</v>
      </c>
      <c r="B16" s="297"/>
      <c r="C16" s="297"/>
      <c r="D16" s="297"/>
      <c r="E16" s="297"/>
      <c r="F16" s="121">
        <v>5000000</v>
      </c>
      <c r="G16" s="121"/>
      <c r="H16" s="121"/>
      <c r="I16" s="121"/>
      <c r="J16" s="121">
        <f>SUM(J15)</f>
        <v>0</v>
      </c>
      <c r="K16" s="121">
        <f>+F16+H16+J16</f>
        <v>5000000</v>
      </c>
      <c r="L16" s="119"/>
      <c r="M16" s="119"/>
      <c r="N16" s="119"/>
      <c r="O16" s="121">
        <f>O15</f>
        <v>0</v>
      </c>
      <c r="P16" s="121">
        <f>P15</f>
        <v>0</v>
      </c>
      <c r="Q16" s="121"/>
      <c r="R16" s="121"/>
      <c r="S16" s="121"/>
      <c r="T16" s="121">
        <f>+O16+P16+S15</f>
        <v>0</v>
      </c>
      <c r="U16" s="120">
        <f>+K16-T16</f>
        <v>5000000</v>
      </c>
    </row>
    <row r="17" spans="1:21" ht="16.5" thickTop="1" thickBot="1" x14ac:dyDescent="0.3">
      <c r="A17" s="293" t="s">
        <v>291</v>
      </c>
      <c r="B17" s="294"/>
      <c r="C17" s="294"/>
      <c r="D17" s="294"/>
      <c r="E17" s="295"/>
      <c r="F17" s="116">
        <f>+F15-F16</f>
        <v>0</v>
      </c>
      <c r="G17" s="122"/>
      <c r="H17" s="123">
        <f>+H15-H16</f>
        <v>0</v>
      </c>
      <c r="I17" s="122"/>
      <c r="J17" s="122"/>
      <c r="K17" s="116">
        <f>+K15-K16</f>
        <v>0</v>
      </c>
      <c r="L17" s="288"/>
      <c r="M17" s="289"/>
      <c r="N17" s="290"/>
      <c r="O17" s="116">
        <f>+O15-O16</f>
        <v>0</v>
      </c>
      <c r="P17" s="116">
        <f>+P15-P16</f>
        <v>0</v>
      </c>
      <c r="Q17" s="116"/>
      <c r="R17" s="122"/>
      <c r="S17" s="122"/>
      <c r="T17" s="116">
        <f>+T15-T16</f>
        <v>0</v>
      </c>
      <c r="U17" s="116">
        <f>+U15-U16</f>
        <v>0</v>
      </c>
    </row>
    <row r="18" spans="1:21" ht="15.75" thickTop="1" x14ac:dyDescent="0.25">
      <c r="K18" s="15"/>
    </row>
    <row r="25" spans="1:21" x14ac:dyDescent="0.25">
      <c r="A25" s="69"/>
    </row>
  </sheetData>
  <mergeCells count="28">
    <mergeCell ref="A3:U3"/>
    <mergeCell ref="A4:U4"/>
    <mergeCell ref="A6:A8"/>
    <mergeCell ref="B6:B8"/>
    <mergeCell ref="D6:D8"/>
    <mergeCell ref="E6:E8"/>
    <mergeCell ref="F6:F8"/>
    <mergeCell ref="G6:H7"/>
    <mergeCell ref="I6:I8"/>
    <mergeCell ref="J6:J8"/>
    <mergeCell ref="Q7:Q8"/>
    <mergeCell ref="C6:C8"/>
    <mergeCell ref="A15:E15"/>
    <mergeCell ref="A16:E16"/>
    <mergeCell ref="A17:E17"/>
    <mergeCell ref="L17:N17"/>
    <mergeCell ref="W6:W8"/>
    <mergeCell ref="O7:O8"/>
    <mergeCell ref="P7:P8"/>
    <mergeCell ref="R7:R8"/>
    <mergeCell ref="S7:S8"/>
    <mergeCell ref="T7:T8"/>
    <mergeCell ref="K6:K8"/>
    <mergeCell ref="L6:L8"/>
    <mergeCell ref="M6:N7"/>
    <mergeCell ref="O6:T6"/>
    <mergeCell ref="U6:U8"/>
    <mergeCell ref="V6:V8"/>
  </mergeCells>
  <pageMargins left="0.25" right="0.25" top="0.75" bottom="0.75" header="0.3" footer="0.3"/>
  <pageSetup paperSize="9" scale="54" fitToHeight="0" orientation="landscape" r:id="rId1"/>
  <legacy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tabColor theme="9" tint="0.59999389629810485"/>
    <pageSetUpPr fitToPage="1"/>
  </sheetPr>
  <dimension ref="A1:U25"/>
  <sheetViews>
    <sheetView zoomScaleNormal="100" workbookViewId="0">
      <selection activeCell="O25" sqref="O25"/>
    </sheetView>
  </sheetViews>
  <sheetFormatPr defaultColWidth="9.140625" defaultRowHeight="15" x14ac:dyDescent="0.25"/>
  <cols>
    <col min="1" max="1" width="5.7109375" style="2" customWidth="1"/>
    <col min="2" max="2" width="7.28515625" style="2" customWidth="1"/>
    <col min="3" max="3" width="23.7109375" style="2" customWidth="1"/>
    <col min="4" max="4" width="8.28515625" style="2" customWidth="1"/>
    <col min="5" max="5" width="12.85546875" style="2" customWidth="1"/>
    <col min="6" max="6" width="8.42578125" style="2" customWidth="1"/>
    <col min="7" max="7" width="16" style="2" customWidth="1"/>
    <col min="8" max="9" width="7.42578125" style="2" customWidth="1"/>
    <col min="10" max="10" width="14.42578125" style="2" customWidth="1"/>
    <col min="11" max="11" width="11.28515625" style="2" customWidth="1"/>
    <col min="12" max="12" width="8.42578125" style="2" customWidth="1"/>
    <col min="13" max="13" width="8.140625" style="2" customWidth="1"/>
    <col min="14" max="14" width="12.42578125" style="2" customWidth="1"/>
    <col min="15" max="16" width="15.140625" style="2" customWidth="1"/>
    <col min="17" max="17" width="20.28515625" style="2" bestFit="1" customWidth="1"/>
    <col min="18" max="18" width="13.140625" style="2" customWidth="1"/>
    <col min="19" max="19" width="16.42578125" style="2" customWidth="1"/>
    <col min="20" max="20" width="12.42578125" style="2" hidden="1" customWidth="1"/>
    <col min="21" max="21" width="14.85546875" style="2" hidden="1" customWidth="1"/>
    <col min="22" max="22" width="13.5703125" style="2" bestFit="1" customWidth="1"/>
    <col min="23" max="23" width="10.85546875" style="2" bestFit="1" customWidth="1"/>
    <col min="24" max="16384" width="9.140625" style="2"/>
  </cols>
  <sheetData>
    <row r="1" spans="1:21" x14ac:dyDescent="0.25">
      <c r="A1" s="28" t="s">
        <v>150</v>
      </c>
    </row>
    <row r="3" spans="1:21" x14ac:dyDescent="0.25">
      <c r="A3" s="299" t="s">
        <v>288</v>
      </c>
      <c r="B3" s="299"/>
      <c r="C3" s="299"/>
      <c r="D3" s="299"/>
      <c r="E3" s="299"/>
      <c r="F3" s="299"/>
      <c r="G3" s="299"/>
      <c r="H3" s="299"/>
      <c r="I3" s="299"/>
      <c r="J3" s="299"/>
      <c r="K3" s="299"/>
      <c r="L3" s="299"/>
      <c r="M3" s="299"/>
      <c r="N3" s="299"/>
      <c r="O3" s="299"/>
      <c r="P3" s="299"/>
      <c r="Q3" s="299"/>
      <c r="R3" s="299"/>
      <c r="S3" s="299"/>
    </row>
    <row r="4" spans="1:21" x14ac:dyDescent="0.25">
      <c r="A4" s="300" t="s">
        <v>250</v>
      </c>
      <c r="B4" s="300"/>
      <c r="C4" s="300"/>
      <c r="D4" s="300"/>
      <c r="E4" s="300"/>
      <c r="F4" s="300"/>
      <c r="G4" s="300"/>
      <c r="H4" s="300"/>
      <c r="I4" s="300"/>
      <c r="J4" s="300"/>
      <c r="K4" s="300"/>
      <c r="L4" s="300"/>
      <c r="M4" s="300"/>
      <c r="N4" s="300"/>
      <c r="O4" s="300"/>
      <c r="P4" s="300"/>
      <c r="Q4" s="300"/>
      <c r="R4" s="300"/>
      <c r="S4" s="300"/>
    </row>
    <row r="5" spans="1:21" ht="15.75" thickBot="1" x14ac:dyDescent="0.3">
      <c r="A5" s="71"/>
    </row>
    <row r="6" spans="1:21" ht="16.5" customHeight="1" thickTop="1" thickBot="1" x14ac:dyDescent="0.3">
      <c r="A6" s="283" t="s">
        <v>0</v>
      </c>
      <c r="B6" s="283" t="s">
        <v>332</v>
      </c>
      <c r="C6" s="283" t="s">
        <v>1</v>
      </c>
      <c r="D6" s="283" t="s">
        <v>7</v>
      </c>
      <c r="E6" s="283" t="s">
        <v>262</v>
      </c>
      <c r="F6" s="284" t="s">
        <v>263</v>
      </c>
      <c r="G6" s="284"/>
      <c r="H6" s="283" t="s">
        <v>18</v>
      </c>
      <c r="I6" s="283" t="s">
        <v>19</v>
      </c>
      <c r="J6" s="284" t="s">
        <v>293</v>
      </c>
      <c r="K6" s="283" t="s">
        <v>4</v>
      </c>
      <c r="L6" s="283" t="s">
        <v>5</v>
      </c>
      <c r="M6" s="283"/>
      <c r="N6" s="283" t="s">
        <v>8</v>
      </c>
      <c r="O6" s="283"/>
      <c r="P6" s="283"/>
      <c r="Q6" s="283"/>
      <c r="R6" s="283"/>
      <c r="S6" s="285" t="s">
        <v>259</v>
      </c>
      <c r="T6" s="285" t="s">
        <v>260</v>
      </c>
      <c r="U6" s="285" t="s">
        <v>261</v>
      </c>
    </row>
    <row r="7" spans="1:21" ht="25.5" customHeight="1" thickTop="1" thickBot="1" x14ac:dyDescent="0.3">
      <c r="A7" s="283"/>
      <c r="B7" s="283"/>
      <c r="C7" s="283"/>
      <c r="D7" s="283"/>
      <c r="E7" s="283"/>
      <c r="F7" s="284"/>
      <c r="G7" s="284"/>
      <c r="H7" s="283"/>
      <c r="I7" s="283"/>
      <c r="J7" s="284"/>
      <c r="K7" s="283"/>
      <c r="L7" s="283"/>
      <c r="M7" s="283"/>
      <c r="N7" s="283" t="s">
        <v>6</v>
      </c>
      <c r="O7" s="291" t="s">
        <v>254</v>
      </c>
      <c r="P7" s="285" t="s">
        <v>257</v>
      </c>
      <c r="Q7" s="285" t="s">
        <v>258</v>
      </c>
      <c r="R7" s="283" t="s">
        <v>265</v>
      </c>
      <c r="S7" s="286"/>
      <c r="T7" s="286"/>
      <c r="U7" s="286"/>
    </row>
    <row r="8" spans="1:21" ht="35.25" customHeight="1" thickTop="1" thickBot="1" x14ac:dyDescent="0.3">
      <c r="A8" s="283"/>
      <c r="B8" s="283"/>
      <c r="C8" s="283"/>
      <c r="D8" s="283"/>
      <c r="E8" s="283"/>
      <c r="F8" s="115" t="s">
        <v>2</v>
      </c>
      <c r="G8" s="115" t="s">
        <v>3</v>
      </c>
      <c r="H8" s="283"/>
      <c r="I8" s="283"/>
      <c r="J8" s="284"/>
      <c r="K8" s="283"/>
      <c r="L8" s="115" t="s">
        <v>256</v>
      </c>
      <c r="M8" s="115" t="s">
        <v>255</v>
      </c>
      <c r="N8" s="283"/>
      <c r="O8" s="292"/>
      <c r="P8" s="287"/>
      <c r="Q8" s="287"/>
      <c r="R8" s="283"/>
      <c r="S8" s="287"/>
      <c r="T8" s="287"/>
      <c r="U8" s="287"/>
    </row>
    <row r="9" spans="1:21" ht="16.5" thickTop="1" thickBot="1" x14ac:dyDescent="0.3">
      <c r="A9" s="74">
        <v>1</v>
      </c>
      <c r="B9" s="74">
        <v>2</v>
      </c>
      <c r="C9" s="74">
        <v>3</v>
      </c>
      <c r="D9" s="74">
        <v>4</v>
      </c>
      <c r="E9" s="74">
        <v>5</v>
      </c>
      <c r="F9" s="74">
        <v>6</v>
      </c>
      <c r="G9" s="74">
        <v>7</v>
      </c>
      <c r="H9" s="74">
        <v>8</v>
      </c>
      <c r="I9" s="74">
        <v>9</v>
      </c>
      <c r="J9" s="74">
        <v>10</v>
      </c>
      <c r="K9" s="74">
        <v>11</v>
      </c>
      <c r="L9" s="74">
        <v>12</v>
      </c>
      <c r="M9" s="74">
        <v>13</v>
      </c>
      <c r="N9" s="74">
        <v>14</v>
      </c>
      <c r="O9" s="74">
        <v>15</v>
      </c>
      <c r="P9" s="74">
        <v>16</v>
      </c>
      <c r="Q9" s="74">
        <v>17</v>
      </c>
      <c r="R9" s="74">
        <v>18</v>
      </c>
      <c r="S9" s="74">
        <v>19</v>
      </c>
      <c r="T9" s="74">
        <v>20</v>
      </c>
      <c r="U9" s="74">
        <v>21</v>
      </c>
    </row>
    <row r="10" spans="1:21" ht="15.75" thickTop="1" x14ac:dyDescent="0.25">
      <c r="A10" s="54">
        <v>1</v>
      </c>
      <c r="B10" s="23" t="s">
        <v>132</v>
      </c>
      <c r="C10" s="24" t="s">
        <v>155</v>
      </c>
      <c r="D10" s="29">
        <v>1</v>
      </c>
      <c r="E10" s="16">
        <v>9864789.0199999996</v>
      </c>
      <c r="F10" s="6">
        <v>8</v>
      </c>
      <c r="G10" s="16">
        <v>0</v>
      </c>
      <c r="H10" s="6"/>
      <c r="I10" s="4"/>
      <c r="J10" s="16">
        <v>9864789.0199999996</v>
      </c>
      <c r="K10" s="6">
        <v>4</v>
      </c>
      <c r="L10" s="10">
        <v>0.02</v>
      </c>
      <c r="M10" s="10">
        <v>0.05</v>
      </c>
      <c r="N10" s="14">
        <v>0</v>
      </c>
      <c r="O10" s="16">
        <v>164413.15</v>
      </c>
      <c r="P10" s="16">
        <f>+Q10/12</f>
        <v>16441.315033333332</v>
      </c>
      <c r="Q10" s="16">
        <f>+J10*L10</f>
        <v>197295.78039999999</v>
      </c>
      <c r="R10" s="16">
        <f>+O10+Q10</f>
        <v>361708.93039999995</v>
      </c>
      <c r="S10" s="55">
        <f>+E10-R10</f>
        <v>9503080.0896000005</v>
      </c>
      <c r="T10" s="76">
        <f>+P10*9</f>
        <v>147971.83529999998</v>
      </c>
      <c r="U10" s="77">
        <f>+J10-N10-O10-T10</f>
        <v>9552404.0346999988</v>
      </c>
    </row>
    <row r="11" spans="1:21" x14ac:dyDescent="0.25">
      <c r="A11" s="56"/>
      <c r="B11" s="22"/>
      <c r="C11" s="5"/>
      <c r="D11" s="30"/>
      <c r="E11" s="15"/>
      <c r="F11" s="7"/>
      <c r="G11" s="17"/>
      <c r="H11" s="7"/>
      <c r="I11" s="5"/>
      <c r="J11" s="17"/>
      <c r="K11" s="7"/>
      <c r="L11" s="18"/>
      <c r="M11" s="19"/>
      <c r="N11" s="15"/>
      <c r="O11" s="17"/>
      <c r="P11" s="17"/>
      <c r="Q11" s="17"/>
      <c r="R11" s="17"/>
      <c r="S11" s="57"/>
      <c r="T11" s="82"/>
      <c r="U11" s="83"/>
    </row>
    <row r="12" spans="1:21" x14ac:dyDescent="0.25">
      <c r="A12" s="56"/>
      <c r="B12" s="22"/>
      <c r="C12" s="5"/>
      <c r="D12" s="7"/>
      <c r="E12" s="15"/>
      <c r="F12" s="7"/>
      <c r="G12" s="7"/>
      <c r="H12" s="7"/>
      <c r="I12" s="5"/>
      <c r="J12" s="15"/>
      <c r="K12" s="7"/>
      <c r="L12" s="18"/>
      <c r="M12" s="19"/>
      <c r="N12" s="15"/>
      <c r="O12" s="17"/>
      <c r="P12" s="17"/>
      <c r="Q12" s="17"/>
      <c r="R12" s="17"/>
      <c r="S12" s="58"/>
      <c r="T12" s="82"/>
      <c r="U12" s="75"/>
    </row>
    <row r="13" spans="1:21" x14ac:dyDescent="0.25">
      <c r="A13" s="56"/>
      <c r="B13" s="22"/>
      <c r="C13" s="5"/>
      <c r="D13" s="7"/>
      <c r="E13" s="15"/>
      <c r="F13" s="7"/>
      <c r="G13" s="7"/>
      <c r="H13" s="7"/>
      <c r="I13" s="5"/>
      <c r="J13" s="15"/>
      <c r="K13" s="7"/>
      <c r="L13" s="18"/>
      <c r="M13" s="19"/>
      <c r="N13" s="15"/>
      <c r="O13" s="17"/>
      <c r="P13" s="17"/>
      <c r="Q13" s="17"/>
      <c r="R13" s="17"/>
      <c r="S13" s="57"/>
      <c r="T13" s="82"/>
      <c r="U13" s="75"/>
    </row>
    <row r="14" spans="1:21" x14ac:dyDescent="0.25">
      <c r="A14" s="56"/>
      <c r="B14" s="22"/>
      <c r="C14" s="5"/>
      <c r="D14" s="7"/>
      <c r="E14" s="15"/>
      <c r="F14" s="7"/>
      <c r="G14" s="7"/>
      <c r="H14" s="7"/>
      <c r="I14" s="5"/>
      <c r="J14" s="15"/>
      <c r="K14" s="7"/>
      <c r="L14" s="18"/>
      <c r="M14" s="19"/>
      <c r="N14" s="15"/>
      <c r="O14" s="17"/>
      <c r="P14" s="17"/>
      <c r="Q14" s="17"/>
      <c r="R14" s="17"/>
      <c r="S14" s="57"/>
      <c r="T14" s="82"/>
      <c r="U14" s="83"/>
    </row>
    <row r="15" spans="1:21" x14ac:dyDescent="0.25">
      <c r="A15" s="56"/>
      <c r="B15" s="22"/>
      <c r="C15" s="5"/>
      <c r="D15" s="7"/>
      <c r="E15" s="15"/>
      <c r="F15" s="7"/>
      <c r="G15" s="7"/>
      <c r="H15" s="7"/>
      <c r="I15" s="5"/>
      <c r="J15" s="15"/>
      <c r="K15" s="7"/>
      <c r="L15" s="18"/>
      <c r="M15" s="19"/>
      <c r="N15" s="15"/>
      <c r="O15" s="17"/>
      <c r="P15" s="17"/>
      <c r="Q15" s="17"/>
      <c r="R15" s="17"/>
      <c r="S15" s="57"/>
      <c r="T15" s="82"/>
      <c r="U15" s="83"/>
    </row>
    <row r="16" spans="1:21" ht="15.75" thickBot="1" x14ac:dyDescent="0.3">
      <c r="A16" s="56"/>
      <c r="B16" s="22"/>
      <c r="C16" s="7"/>
      <c r="D16" s="7"/>
      <c r="E16" s="15"/>
      <c r="F16" s="7"/>
      <c r="G16" s="17"/>
      <c r="H16" s="7"/>
      <c r="I16" s="5"/>
      <c r="J16" s="15"/>
      <c r="K16" s="7"/>
      <c r="L16" s="18"/>
      <c r="M16" s="19"/>
      <c r="N16" s="15"/>
      <c r="O16" s="17"/>
      <c r="P16" s="17"/>
      <c r="Q16" s="17"/>
      <c r="R16" s="21"/>
      <c r="S16" s="57"/>
      <c r="T16" s="85"/>
      <c r="U16" s="86"/>
    </row>
    <row r="17" spans="1:21" ht="16.5" thickTop="1" thickBot="1" x14ac:dyDescent="0.3">
      <c r="A17" s="298" t="s">
        <v>12</v>
      </c>
      <c r="B17" s="298"/>
      <c r="C17" s="298"/>
      <c r="D17" s="298"/>
      <c r="E17" s="117">
        <f>SUM(E10:E16)</f>
        <v>9864789.0199999996</v>
      </c>
      <c r="F17" s="117"/>
      <c r="G17" s="117">
        <f>SUM(G10:G16)</f>
        <v>0</v>
      </c>
      <c r="H17" s="117">
        <f t="shared" ref="H17:U17" si="0">SUM(H10:H16)</f>
        <v>0</v>
      </c>
      <c r="I17" s="117">
        <f t="shared" si="0"/>
        <v>0</v>
      </c>
      <c r="J17" s="124">
        <f t="shared" si="0"/>
        <v>9864789.0199999996</v>
      </c>
      <c r="K17" s="118"/>
      <c r="L17" s="118"/>
      <c r="M17" s="118"/>
      <c r="N17" s="117">
        <f t="shared" si="0"/>
        <v>0</v>
      </c>
      <c r="O17" s="117">
        <f t="shared" si="0"/>
        <v>164413.15</v>
      </c>
      <c r="P17" s="117">
        <f t="shared" si="0"/>
        <v>16441.315033333332</v>
      </c>
      <c r="Q17" s="124">
        <f t="shared" si="0"/>
        <v>197295.78039999999</v>
      </c>
      <c r="R17" s="124">
        <f t="shared" si="0"/>
        <v>361708.93039999995</v>
      </c>
      <c r="S17" s="124">
        <f>SUM(S10:S16)</f>
        <v>9503080.0896000005</v>
      </c>
      <c r="T17" s="117">
        <f t="shared" si="0"/>
        <v>147971.83529999998</v>
      </c>
      <c r="U17" s="117">
        <f t="shared" si="0"/>
        <v>9552404.0346999988</v>
      </c>
    </row>
    <row r="18" spans="1:21" ht="16.5" thickTop="1" thickBot="1" x14ac:dyDescent="0.3">
      <c r="A18" s="296" t="s">
        <v>356</v>
      </c>
      <c r="B18" s="297"/>
      <c r="C18" s="297"/>
      <c r="D18" s="297"/>
      <c r="E18" s="121">
        <f>+E17</f>
        <v>9864789.0199999996</v>
      </c>
      <c r="F18" s="121"/>
      <c r="G18" s="121"/>
      <c r="H18" s="121"/>
      <c r="I18" s="121">
        <f>SUM(I17)</f>
        <v>0</v>
      </c>
      <c r="J18" s="121">
        <f>+E18+G18+I18</f>
        <v>9864789.0199999996</v>
      </c>
      <c r="K18" s="119"/>
      <c r="L18" s="119"/>
      <c r="M18" s="119"/>
      <c r="N18" s="121">
        <f>N17</f>
        <v>0</v>
      </c>
      <c r="O18" s="121">
        <f>O17</f>
        <v>164413.15</v>
      </c>
      <c r="P18" s="121"/>
      <c r="Q18" s="121"/>
      <c r="R18" s="121">
        <f>+O18+Q17</f>
        <v>361708.93039999995</v>
      </c>
      <c r="S18" s="120">
        <f>+J18-R18</f>
        <v>9503080.0896000005</v>
      </c>
    </row>
    <row r="19" spans="1:21" ht="16.5" thickTop="1" thickBot="1" x14ac:dyDescent="0.3">
      <c r="A19" s="293" t="s">
        <v>291</v>
      </c>
      <c r="B19" s="294"/>
      <c r="C19" s="294"/>
      <c r="D19" s="295"/>
      <c r="E19" s="116">
        <f>+E17-E18</f>
        <v>0</v>
      </c>
      <c r="F19" s="122"/>
      <c r="G19" s="123">
        <f>+G17-G18</f>
        <v>0</v>
      </c>
      <c r="H19" s="122"/>
      <c r="I19" s="122"/>
      <c r="J19" s="116">
        <f>+J17-J18</f>
        <v>0</v>
      </c>
      <c r="K19" s="288"/>
      <c r="L19" s="289"/>
      <c r="M19" s="290"/>
      <c r="N19" s="116">
        <f>+N17-N18</f>
        <v>0</v>
      </c>
      <c r="O19" s="116">
        <f>+O17-O18</f>
        <v>0</v>
      </c>
      <c r="P19" s="122"/>
      <c r="Q19" s="122"/>
      <c r="R19" s="116">
        <f>+R17-R18</f>
        <v>0</v>
      </c>
      <c r="S19" s="116">
        <f>+S17-S18</f>
        <v>0</v>
      </c>
    </row>
    <row r="20" spans="1:21" ht="15.75" thickTop="1" x14ac:dyDescent="0.25">
      <c r="U20" s="15"/>
    </row>
    <row r="21" spans="1:21" x14ac:dyDescent="0.25">
      <c r="D21" s="15"/>
      <c r="G21" s="15"/>
      <c r="J21" s="15"/>
      <c r="M21" s="15"/>
      <c r="P21" s="15"/>
      <c r="S21" s="15"/>
    </row>
    <row r="22" spans="1:21" x14ac:dyDescent="0.25">
      <c r="D22" s="15"/>
      <c r="G22" s="15"/>
      <c r="J22" s="15"/>
      <c r="M22" s="15"/>
      <c r="P22" s="15"/>
      <c r="S22" s="15"/>
    </row>
    <row r="24" spans="1:21" x14ac:dyDescent="0.25">
      <c r="D24" s="15"/>
      <c r="G24" s="15"/>
      <c r="J24" s="15"/>
      <c r="M24" s="15"/>
      <c r="P24" s="15"/>
      <c r="S24" s="15"/>
    </row>
    <row r="25" spans="1:21" x14ac:dyDescent="0.25">
      <c r="D25" s="15"/>
      <c r="G25" s="15"/>
      <c r="J25" s="15"/>
      <c r="M25" s="15"/>
      <c r="P25" s="15"/>
      <c r="S25" s="15"/>
    </row>
  </sheetData>
  <mergeCells count="26">
    <mergeCell ref="A17:D17"/>
    <mergeCell ref="A18:D18"/>
    <mergeCell ref="A19:D19"/>
    <mergeCell ref="K19:M19"/>
    <mergeCell ref="T6:T8"/>
    <mergeCell ref="U6:U8"/>
    <mergeCell ref="O7:O8"/>
    <mergeCell ref="P7:P8"/>
    <mergeCell ref="Q7:Q8"/>
    <mergeCell ref="I6:I8"/>
    <mergeCell ref="J6:J8"/>
    <mergeCell ref="K6:K8"/>
    <mergeCell ref="L6:M7"/>
    <mergeCell ref="N6:R6"/>
    <mergeCell ref="N7:N8"/>
    <mergeCell ref="R7:R8"/>
    <mergeCell ref="A3:S3"/>
    <mergeCell ref="A4:S4"/>
    <mergeCell ref="A6:A8"/>
    <mergeCell ref="B6:B8"/>
    <mergeCell ref="C6:C8"/>
    <mergeCell ref="D6:D8"/>
    <mergeCell ref="E6:E8"/>
    <mergeCell ref="F6:G7"/>
    <mergeCell ref="H6:H8"/>
    <mergeCell ref="S6:S8"/>
  </mergeCells>
  <pageMargins left="0.25" right="0.25" top="0.75" bottom="0.75" header="0.3" footer="0.3"/>
  <pageSetup paperSize="9" scale="58" fitToHeight="0" orientation="landscape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theme="9" tint="0.59999389629810485"/>
    <pageSetUpPr fitToPage="1"/>
  </sheetPr>
  <dimension ref="A1:U20"/>
  <sheetViews>
    <sheetView zoomScaleNormal="100" workbookViewId="0">
      <selection activeCell="O25" sqref="O25"/>
    </sheetView>
  </sheetViews>
  <sheetFormatPr defaultColWidth="9.140625" defaultRowHeight="15" x14ac:dyDescent="0.25"/>
  <cols>
    <col min="1" max="1" width="5.7109375" style="2" customWidth="1"/>
    <col min="2" max="2" width="7.28515625" style="2" customWidth="1"/>
    <col min="3" max="3" width="23.7109375" style="2" customWidth="1"/>
    <col min="4" max="4" width="8.28515625" style="2" customWidth="1"/>
    <col min="5" max="5" width="12.85546875" style="2" customWidth="1"/>
    <col min="6" max="6" width="8.42578125" style="2" customWidth="1"/>
    <col min="7" max="7" width="10" style="2" customWidth="1"/>
    <col min="8" max="9" width="7.42578125" style="2" customWidth="1"/>
    <col min="10" max="10" width="14.42578125" style="2" customWidth="1"/>
    <col min="11" max="11" width="11.28515625" style="2" customWidth="1"/>
    <col min="12" max="12" width="8.42578125" style="2" customWidth="1"/>
    <col min="13" max="13" width="8.140625" style="2" customWidth="1"/>
    <col min="14" max="14" width="12.42578125" style="2" customWidth="1"/>
    <col min="15" max="16" width="11.28515625" style="2" customWidth="1"/>
    <col min="17" max="17" width="10.140625" style="2" customWidth="1"/>
    <col min="18" max="18" width="11" style="2" customWidth="1"/>
    <col min="19" max="19" width="12.5703125" style="2" customWidth="1"/>
    <col min="20" max="20" width="0" style="2" hidden="1" customWidth="1"/>
    <col min="21" max="21" width="14.85546875" style="2" hidden="1" customWidth="1"/>
    <col min="22" max="22" width="13.5703125" style="2" bestFit="1" customWidth="1"/>
    <col min="23" max="23" width="10.85546875" style="2" bestFit="1" customWidth="1"/>
    <col min="24" max="16384" width="9.140625" style="2"/>
  </cols>
  <sheetData>
    <row r="1" spans="1:21" x14ac:dyDescent="0.25">
      <c r="A1" s="28" t="s">
        <v>150</v>
      </c>
    </row>
    <row r="3" spans="1:21" x14ac:dyDescent="0.25">
      <c r="A3" s="299" t="s">
        <v>288</v>
      </c>
      <c r="B3" s="299"/>
      <c r="C3" s="299"/>
      <c r="D3" s="299"/>
      <c r="E3" s="299"/>
      <c r="F3" s="299"/>
      <c r="G3" s="299"/>
      <c r="H3" s="299"/>
      <c r="I3" s="299"/>
      <c r="J3" s="299"/>
      <c r="K3" s="299"/>
      <c r="L3" s="299"/>
      <c r="M3" s="299"/>
      <c r="N3" s="299"/>
      <c r="O3" s="299"/>
      <c r="P3" s="299"/>
      <c r="Q3" s="299"/>
      <c r="R3" s="299"/>
      <c r="S3" s="299"/>
    </row>
    <row r="4" spans="1:21" x14ac:dyDescent="0.25">
      <c r="A4" s="300" t="s">
        <v>358</v>
      </c>
      <c r="B4" s="300"/>
      <c r="C4" s="300"/>
      <c r="D4" s="300"/>
      <c r="E4" s="300"/>
      <c r="F4" s="300"/>
      <c r="G4" s="300"/>
      <c r="H4" s="300"/>
      <c r="I4" s="300"/>
      <c r="J4" s="300"/>
      <c r="K4" s="300"/>
      <c r="L4" s="300"/>
      <c r="M4" s="300"/>
      <c r="N4" s="300"/>
      <c r="O4" s="300"/>
      <c r="P4" s="300"/>
      <c r="Q4" s="300"/>
      <c r="R4" s="300"/>
      <c r="S4" s="300"/>
    </row>
    <row r="5" spans="1:21" ht="15.75" thickBot="1" x14ac:dyDescent="0.3">
      <c r="A5" s="71"/>
    </row>
    <row r="6" spans="1:21" ht="16.5" customHeight="1" thickTop="1" thickBot="1" x14ac:dyDescent="0.3">
      <c r="A6" s="283" t="s">
        <v>0</v>
      </c>
      <c r="B6" s="283" t="s">
        <v>332</v>
      </c>
      <c r="C6" s="283" t="s">
        <v>1</v>
      </c>
      <c r="D6" s="283" t="s">
        <v>7</v>
      </c>
      <c r="E6" s="283" t="s">
        <v>262</v>
      </c>
      <c r="F6" s="284" t="s">
        <v>263</v>
      </c>
      <c r="G6" s="284"/>
      <c r="H6" s="283" t="s">
        <v>18</v>
      </c>
      <c r="I6" s="283" t="s">
        <v>19</v>
      </c>
      <c r="J6" s="284" t="s">
        <v>293</v>
      </c>
      <c r="K6" s="283" t="s">
        <v>4</v>
      </c>
      <c r="L6" s="283" t="s">
        <v>5</v>
      </c>
      <c r="M6" s="283"/>
      <c r="N6" s="283" t="s">
        <v>8</v>
      </c>
      <c r="O6" s="283"/>
      <c r="P6" s="283"/>
      <c r="Q6" s="283"/>
      <c r="R6" s="283"/>
      <c r="S6" s="285" t="s">
        <v>259</v>
      </c>
      <c r="T6" s="285" t="s">
        <v>260</v>
      </c>
      <c r="U6" s="285" t="s">
        <v>261</v>
      </c>
    </row>
    <row r="7" spans="1:21" ht="25.5" customHeight="1" thickTop="1" thickBot="1" x14ac:dyDescent="0.3">
      <c r="A7" s="283"/>
      <c r="B7" s="283"/>
      <c r="C7" s="283"/>
      <c r="D7" s="283"/>
      <c r="E7" s="283"/>
      <c r="F7" s="284"/>
      <c r="G7" s="284"/>
      <c r="H7" s="283"/>
      <c r="I7" s="283"/>
      <c r="J7" s="284"/>
      <c r="K7" s="283"/>
      <c r="L7" s="283"/>
      <c r="M7" s="283"/>
      <c r="N7" s="283" t="s">
        <v>6</v>
      </c>
      <c r="O7" s="291" t="s">
        <v>254</v>
      </c>
      <c r="P7" s="285" t="s">
        <v>257</v>
      </c>
      <c r="Q7" s="285" t="s">
        <v>258</v>
      </c>
      <c r="R7" s="283" t="s">
        <v>265</v>
      </c>
      <c r="S7" s="286"/>
      <c r="T7" s="286"/>
      <c r="U7" s="286"/>
    </row>
    <row r="8" spans="1:21" ht="25.5" customHeight="1" thickTop="1" thickBot="1" x14ac:dyDescent="0.3">
      <c r="A8" s="283"/>
      <c r="B8" s="283"/>
      <c r="C8" s="283"/>
      <c r="D8" s="283"/>
      <c r="E8" s="283"/>
      <c r="F8" s="115" t="s">
        <v>2</v>
      </c>
      <c r="G8" s="115" t="s">
        <v>3</v>
      </c>
      <c r="H8" s="283"/>
      <c r="I8" s="283"/>
      <c r="J8" s="284"/>
      <c r="K8" s="283"/>
      <c r="L8" s="115" t="s">
        <v>256</v>
      </c>
      <c r="M8" s="115" t="s">
        <v>255</v>
      </c>
      <c r="N8" s="283"/>
      <c r="O8" s="292"/>
      <c r="P8" s="287"/>
      <c r="Q8" s="287"/>
      <c r="R8" s="283"/>
      <c r="S8" s="287"/>
      <c r="T8" s="287"/>
      <c r="U8" s="287"/>
    </row>
    <row r="9" spans="1:21" ht="16.5" thickTop="1" thickBot="1" x14ac:dyDescent="0.3">
      <c r="A9" s="74">
        <v>1</v>
      </c>
      <c r="B9" s="74">
        <v>2</v>
      </c>
      <c r="C9" s="74">
        <v>3</v>
      </c>
      <c r="D9" s="74">
        <v>4</v>
      </c>
      <c r="E9" s="74">
        <v>5</v>
      </c>
      <c r="F9" s="74">
        <v>6</v>
      </c>
      <c r="G9" s="74">
        <v>7</v>
      </c>
      <c r="H9" s="74">
        <v>8</v>
      </c>
      <c r="I9" s="74">
        <v>9</v>
      </c>
      <c r="J9" s="74">
        <v>10</v>
      </c>
      <c r="K9" s="74">
        <v>11</v>
      </c>
      <c r="L9" s="74">
        <v>12</v>
      </c>
      <c r="M9" s="74">
        <v>13</v>
      </c>
      <c r="N9" s="74">
        <v>14</v>
      </c>
      <c r="O9" s="74">
        <v>15</v>
      </c>
      <c r="P9" s="74">
        <v>16</v>
      </c>
      <c r="Q9" s="74">
        <v>17</v>
      </c>
      <c r="R9" s="74">
        <v>18</v>
      </c>
      <c r="S9" s="74">
        <v>19</v>
      </c>
      <c r="T9" s="74">
        <v>20</v>
      </c>
      <c r="U9" s="74">
        <v>21</v>
      </c>
    </row>
    <row r="10" spans="1:21" ht="15.75" thickTop="1" x14ac:dyDescent="0.25">
      <c r="A10" s="54">
        <v>1</v>
      </c>
      <c r="B10" s="23" t="s">
        <v>339</v>
      </c>
      <c r="C10" s="24" t="s">
        <v>151</v>
      </c>
      <c r="D10" s="29">
        <v>1</v>
      </c>
      <c r="E10" s="14">
        <v>6968</v>
      </c>
      <c r="F10" s="6"/>
      <c r="G10" s="6"/>
      <c r="H10" s="6"/>
      <c r="I10" s="4"/>
      <c r="J10" s="14">
        <v>6968</v>
      </c>
      <c r="K10" s="6">
        <v>12</v>
      </c>
      <c r="L10" s="91">
        <v>0.125</v>
      </c>
      <c r="M10" s="11">
        <v>0.25</v>
      </c>
      <c r="N10" s="14">
        <v>145.16999999999999</v>
      </c>
      <c r="O10" s="16">
        <v>1742</v>
      </c>
      <c r="P10" s="16">
        <f>+Q10/12</f>
        <v>72.583333333333329</v>
      </c>
      <c r="Q10" s="16">
        <f>+J10*L10</f>
        <v>871</v>
      </c>
      <c r="R10" s="16">
        <f>+N10+O10+Q10</f>
        <v>2758.17</v>
      </c>
      <c r="S10" s="55">
        <f>+J10-N10-O10-Q10</f>
        <v>4209.83</v>
      </c>
      <c r="T10" s="76">
        <f>+P10*9</f>
        <v>653.25</v>
      </c>
      <c r="U10" s="77">
        <f>+J10-N10-O10-T10</f>
        <v>4427.58</v>
      </c>
    </row>
    <row r="11" spans="1:21" x14ac:dyDescent="0.25">
      <c r="A11" s="56">
        <v>2</v>
      </c>
      <c r="B11" s="22" t="s">
        <v>339</v>
      </c>
      <c r="C11" s="5" t="s">
        <v>152</v>
      </c>
      <c r="D11" s="30">
        <v>1</v>
      </c>
      <c r="E11" s="17">
        <v>6939</v>
      </c>
      <c r="F11" s="7"/>
      <c r="H11" s="7"/>
      <c r="I11" s="5"/>
      <c r="J11" s="17">
        <v>6939</v>
      </c>
      <c r="K11" s="7">
        <v>7</v>
      </c>
      <c r="L11" s="80">
        <v>0.125</v>
      </c>
      <c r="M11" s="19">
        <v>0.5</v>
      </c>
      <c r="N11" s="15">
        <v>0</v>
      </c>
      <c r="O11" s="17">
        <v>1011.94</v>
      </c>
      <c r="P11" s="17">
        <f>+Q11/12</f>
        <v>72.28125</v>
      </c>
      <c r="Q11" s="17">
        <f>+J11*L11</f>
        <v>867.375</v>
      </c>
      <c r="R11" s="17">
        <f>+N11+O11+Q11</f>
        <v>1879.3150000000001</v>
      </c>
      <c r="S11" s="57">
        <f>+J11-N11-O11-Q11</f>
        <v>5059.6849999999995</v>
      </c>
      <c r="T11" s="78">
        <f>+P11*9</f>
        <v>650.53125</v>
      </c>
      <c r="U11" s="75">
        <f>+J11-N11-O11-T11</f>
        <v>5276.5287499999995</v>
      </c>
    </row>
    <row r="12" spans="1:21" x14ac:dyDescent="0.25">
      <c r="A12" s="56"/>
      <c r="B12" s="22"/>
      <c r="C12" s="5"/>
      <c r="D12" s="7"/>
      <c r="E12" s="15"/>
      <c r="F12" s="7"/>
      <c r="G12" s="7"/>
      <c r="H12" s="7"/>
      <c r="I12" s="5"/>
      <c r="J12" s="15"/>
      <c r="K12" s="7"/>
      <c r="L12" s="18"/>
      <c r="M12" s="19"/>
      <c r="N12" s="15"/>
      <c r="O12" s="17"/>
      <c r="P12" s="17"/>
      <c r="Q12" s="17"/>
      <c r="R12" s="17"/>
      <c r="S12" s="58"/>
      <c r="T12" s="78"/>
      <c r="U12" s="75"/>
    </row>
    <row r="13" spans="1:21" x14ac:dyDescent="0.25">
      <c r="A13" s="56"/>
      <c r="B13" s="22"/>
      <c r="C13" s="5"/>
      <c r="D13" s="7"/>
      <c r="E13" s="15"/>
      <c r="F13" s="7"/>
      <c r="G13" s="7"/>
      <c r="H13" s="7"/>
      <c r="I13" s="5"/>
      <c r="J13" s="15"/>
      <c r="K13" s="7"/>
      <c r="L13" s="18"/>
      <c r="M13" s="19"/>
      <c r="N13" s="15"/>
      <c r="O13" s="17"/>
      <c r="P13" s="17"/>
      <c r="Q13" s="17"/>
      <c r="R13" s="17"/>
      <c r="S13" s="57"/>
      <c r="T13" s="78"/>
      <c r="U13" s="75"/>
    </row>
    <row r="14" spans="1:21" x14ac:dyDescent="0.25">
      <c r="A14" s="56"/>
      <c r="B14" s="22"/>
      <c r="C14" s="5"/>
      <c r="D14" s="7"/>
      <c r="E14" s="15"/>
      <c r="F14" s="7"/>
      <c r="G14" s="7"/>
      <c r="H14" s="7"/>
      <c r="I14" s="5"/>
      <c r="J14" s="15"/>
      <c r="K14" s="7"/>
      <c r="L14" s="18"/>
      <c r="M14" s="19"/>
      <c r="N14" s="15"/>
      <c r="O14" s="17"/>
      <c r="P14" s="17"/>
      <c r="Q14" s="17"/>
      <c r="R14" s="17"/>
      <c r="S14" s="57"/>
      <c r="T14" s="78"/>
      <c r="U14" s="75"/>
    </row>
    <row r="15" spans="1:21" x14ac:dyDescent="0.25">
      <c r="A15" s="56"/>
      <c r="B15" s="22"/>
      <c r="C15" s="5"/>
      <c r="D15" s="7"/>
      <c r="E15" s="15"/>
      <c r="F15" s="7"/>
      <c r="G15" s="7"/>
      <c r="H15" s="7"/>
      <c r="I15" s="5"/>
      <c r="J15" s="15"/>
      <c r="K15" s="7"/>
      <c r="L15" s="18"/>
      <c r="M15" s="19"/>
      <c r="N15" s="15"/>
      <c r="O15" s="17"/>
      <c r="P15" s="17"/>
      <c r="Q15" s="17"/>
      <c r="R15" s="17"/>
      <c r="S15" s="57"/>
      <c r="T15" s="78"/>
      <c r="U15" s="75"/>
    </row>
    <row r="16" spans="1:21" ht="15.75" thickBot="1" x14ac:dyDescent="0.3">
      <c r="A16" s="56"/>
      <c r="B16" s="22"/>
      <c r="C16" s="7"/>
      <c r="D16" s="7"/>
      <c r="E16" s="15"/>
      <c r="F16" s="7"/>
      <c r="G16" s="17"/>
      <c r="H16" s="7"/>
      <c r="I16" s="5"/>
      <c r="J16" s="15"/>
      <c r="K16" s="7"/>
      <c r="L16" s="18"/>
      <c r="M16" s="19"/>
      <c r="N16" s="15"/>
      <c r="O16" s="17"/>
      <c r="P16" s="17"/>
      <c r="Q16" s="17"/>
      <c r="R16" s="21"/>
      <c r="S16" s="57"/>
      <c r="T16" s="78"/>
      <c r="U16" s="75"/>
    </row>
    <row r="17" spans="1:21" ht="16.5" thickTop="1" thickBot="1" x14ac:dyDescent="0.3">
      <c r="A17" s="298" t="s">
        <v>12</v>
      </c>
      <c r="B17" s="298"/>
      <c r="C17" s="298"/>
      <c r="D17" s="298"/>
      <c r="E17" s="117">
        <f>SUM(E10:E16)</f>
        <v>13907</v>
      </c>
      <c r="F17" s="117">
        <f t="shared" ref="F17:U17" si="0">SUM(F10:F16)</f>
        <v>0</v>
      </c>
      <c r="G17" s="117">
        <f t="shared" si="0"/>
        <v>0</v>
      </c>
      <c r="H17" s="117">
        <f t="shared" si="0"/>
        <v>0</v>
      </c>
      <c r="I17" s="117">
        <f t="shared" si="0"/>
        <v>0</v>
      </c>
      <c r="J17" s="124">
        <f t="shared" si="0"/>
        <v>13907</v>
      </c>
      <c r="K17" s="118">
        <f t="shared" si="0"/>
        <v>19</v>
      </c>
      <c r="L17" s="118"/>
      <c r="M17" s="118"/>
      <c r="N17" s="117">
        <f t="shared" si="0"/>
        <v>145.16999999999999</v>
      </c>
      <c r="O17" s="117">
        <f t="shared" si="0"/>
        <v>2753.94</v>
      </c>
      <c r="P17" s="117">
        <f t="shared" si="0"/>
        <v>144.86458333333331</v>
      </c>
      <c r="Q17" s="124">
        <f t="shared" si="0"/>
        <v>1738.375</v>
      </c>
      <c r="R17" s="124">
        <f t="shared" si="0"/>
        <v>4637.4850000000006</v>
      </c>
      <c r="S17" s="124">
        <f t="shared" si="0"/>
        <v>9269.5149999999994</v>
      </c>
      <c r="T17" s="117">
        <f t="shared" si="0"/>
        <v>1303.78125</v>
      </c>
      <c r="U17" s="117">
        <f t="shared" si="0"/>
        <v>9704.1087499999994</v>
      </c>
    </row>
    <row r="18" spans="1:21" ht="16.5" thickTop="1" thickBot="1" x14ac:dyDescent="0.3">
      <c r="A18" s="296" t="s">
        <v>356</v>
      </c>
      <c r="B18" s="297"/>
      <c r="C18" s="297"/>
      <c r="D18" s="297"/>
      <c r="E18" s="121">
        <f>+E17</f>
        <v>13907</v>
      </c>
      <c r="F18" s="121"/>
      <c r="G18" s="121"/>
      <c r="H18" s="121"/>
      <c r="I18" s="121">
        <f>SUM(I17)</f>
        <v>0</v>
      </c>
      <c r="J18" s="121">
        <f>+E18+G18+I18</f>
        <v>13907</v>
      </c>
      <c r="K18" s="119"/>
      <c r="L18" s="119"/>
      <c r="M18" s="119"/>
      <c r="N18" s="121">
        <f>N17</f>
        <v>145.16999999999999</v>
      </c>
      <c r="O18" s="121">
        <f>O17</f>
        <v>2753.94</v>
      </c>
      <c r="P18" s="121"/>
      <c r="Q18" s="121"/>
      <c r="R18" s="121">
        <f>N18+O18+Q17</f>
        <v>4637.4850000000006</v>
      </c>
      <c r="S18" s="120">
        <f>+J18-R18</f>
        <v>9269.5149999999994</v>
      </c>
    </row>
    <row r="19" spans="1:21" ht="16.5" thickTop="1" thickBot="1" x14ac:dyDescent="0.3">
      <c r="A19" s="293" t="s">
        <v>291</v>
      </c>
      <c r="B19" s="294"/>
      <c r="C19" s="294"/>
      <c r="D19" s="295"/>
      <c r="E19" s="116">
        <f>+E17-E18</f>
        <v>0</v>
      </c>
      <c r="F19" s="122"/>
      <c r="G19" s="123">
        <f>+G17-G18</f>
        <v>0</v>
      </c>
      <c r="H19" s="122"/>
      <c r="I19" s="122"/>
      <c r="J19" s="116">
        <f>+J17-J18</f>
        <v>0</v>
      </c>
      <c r="K19" s="288"/>
      <c r="L19" s="289"/>
      <c r="M19" s="290"/>
      <c r="N19" s="116">
        <f>+N17-N18</f>
        <v>0</v>
      </c>
      <c r="O19" s="116">
        <f>+O17-O18</f>
        <v>0</v>
      </c>
      <c r="P19" s="122"/>
      <c r="Q19" s="122"/>
      <c r="R19" s="116">
        <f>+R17-R18</f>
        <v>0</v>
      </c>
      <c r="S19" s="116">
        <f>+S17-S18</f>
        <v>0</v>
      </c>
    </row>
    <row r="20" spans="1:21" ht="15.75" thickTop="1" x14ac:dyDescent="0.25">
      <c r="O20" s="15">
        <f>+N18+O18</f>
        <v>2899.11</v>
      </c>
    </row>
  </sheetData>
  <mergeCells count="26">
    <mergeCell ref="A17:D17"/>
    <mergeCell ref="A18:D18"/>
    <mergeCell ref="A19:D19"/>
    <mergeCell ref="K19:M19"/>
    <mergeCell ref="T6:T8"/>
    <mergeCell ref="U6:U8"/>
    <mergeCell ref="O7:O8"/>
    <mergeCell ref="P7:P8"/>
    <mergeCell ref="Q7:Q8"/>
    <mergeCell ref="I6:I8"/>
    <mergeCell ref="J6:J8"/>
    <mergeCell ref="K6:K8"/>
    <mergeCell ref="L6:M7"/>
    <mergeCell ref="N6:R6"/>
    <mergeCell ref="N7:N8"/>
    <mergeCell ref="R7:R8"/>
    <mergeCell ref="A3:S3"/>
    <mergeCell ref="A4:S4"/>
    <mergeCell ref="A6:A8"/>
    <mergeCell ref="B6:B8"/>
    <mergeCell ref="C6:C8"/>
    <mergeCell ref="D6:D8"/>
    <mergeCell ref="E6:E8"/>
    <mergeCell ref="F6:G7"/>
    <mergeCell ref="H6:H8"/>
    <mergeCell ref="S6:S8"/>
  </mergeCells>
  <pageMargins left="0.25" right="0.25" top="0.75" bottom="0.75" header="0.3" footer="0.3"/>
  <pageSetup paperSize="9" scale="70" fitToHeight="0" orientation="landscape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theme="9" tint="0.59999389629810485"/>
    <pageSetUpPr fitToPage="1"/>
  </sheetPr>
  <dimension ref="A1:U17"/>
  <sheetViews>
    <sheetView topLeftCell="A2" zoomScaleNormal="100" workbookViewId="0">
      <selection activeCell="O25" sqref="O25"/>
    </sheetView>
  </sheetViews>
  <sheetFormatPr defaultColWidth="9.140625" defaultRowHeight="15" x14ac:dyDescent="0.25"/>
  <cols>
    <col min="1" max="1" width="5.7109375" style="2" customWidth="1"/>
    <col min="2" max="2" width="7.28515625" style="2" customWidth="1"/>
    <col min="3" max="3" width="23.7109375" style="2" customWidth="1"/>
    <col min="4" max="4" width="8.28515625" style="2" customWidth="1"/>
    <col min="5" max="5" width="12.85546875" style="2" customWidth="1"/>
    <col min="6" max="6" width="8.42578125" style="2" customWidth="1"/>
    <col min="7" max="7" width="15.140625" style="2" customWidth="1"/>
    <col min="8" max="9" width="7.42578125" style="2" customWidth="1"/>
    <col min="10" max="10" width="14.42578125" style="2" customWidth="1"/>
    <col min="11" max="11" width="11.28515625" style="2" customWidth="1"/>
    <col min="12" max="12" width="8.42578125" style="2" customWidth="1"/>
    <col min="13" max="13" width="8.140625" style="2" customWidth="1"/>
    <col min="14" max="14" width="12.42578125" style="2" customWidth="1"/>
    <col min="15" max="16" width="16" style="2" customWidth="1"/>
    <col min="17" max="17" width="18.7109375" style="2" bestFit="1" customWidth="1"/>
    <col min="18" max="18" width="15.28515625" style="2" customWidth="1"/>
    <col min="19" max="19" width="16.5703125" style="2" customWidth="1"/>
    <col min="20" max="20" width="11.5703125" style="2" hidden="1" customWidth="1"/>
    <col min="21" max="21" width="14.85546875" style="2" hidden="1" customWidth="1"/>
    <col min="22" max="22" width="13.5703125" style="2" bestFit="1" customWidth="1"/>
    <col min="23" max="23" width="10.85546875" style="2" bestFit="1" customWidth="1"/>
    <col min="24" max="16384" width="9.140625" style="2"/>
  </cols>
  <sheetData>
    <row r="1" spans="1:21" x14ac:dyDescent="0.25">
      <c r="A1" s="28" t="s">
        <v>150</v>
      </c>
    </row>
    <row r="3" spans="1:21" x14ac:dyDescent="0.25">
      <c r="A3" s="299" t="s">
        <v>9</v>
      </c>
      <c r="B3" s="299"/>
      <c r="C3" s="299"/>
      <c r="D3" s="299"/>
      <c r="E3" s="299"/>
      <c r="F3" s="299"/>
      <c r="G3" s="299"/>
      <c r="H3" s="299"/>
      <c r="I3" s="299"/>
      <c r="J3" s="299"/>
      <c r="K3" s="299"/>
      <c r="L3" s="299"/>
      <c r="M3" s="299"/>
      <c r="N3" s="299"/>
      <c r="O3" s="299"/>
      <c r="P3" s="299"/>
      <c r="Q3" s="299"/>
      <c r="R3" s="299"/>
      <c r="S3" s="299"/>
    </row>
    <row r="4" spans="1:21" x14ac:dyDescent="0.25">
      <c r="A4" s="300" t="s">
        <v>153</v>
      </c>
      <c r="B4" s="300"/>
      <c r="C4" s="300"/>
      <c r="D4" s="300"/>
      <c r="E4" s="300"/>
      <c r="F4" s="300"/>
      <c r="G4" s="300"/>
      <c r="H4" s="300"/>
      <c r="I4" s="300"/>
      <c r="J4" s="300"/>
      <c r="K4" s="300"/>
      <c r="L4" s="300"/>
      <c r="M4" s="300"/>
      <c r="N4" s="300"/>
      <c r="O4" s="300"/>
      <c r="P4" s="300"/>
      <c r="Q4" s="300"/>
      <c r="R4" s="300"/>
      <c r="S4" s="300"/>
    </row>
    <row r="5" spans="1:21" ht="15.75" thickBot="1" x14ac:dyDescent="0.3">
      <c r="A5" s="71"/>
    </row>
    <row r="6" spans="1:21" ht="16.5" customHeight="1" thickTop="1" thickBot="1" x14ac:dyDescent="0.3">
      <c r="A6" s="283" t="s">
        <v>0</v>
      </c>
      <c r="B6" s="283" t="s">
        <v>249</v>
      </c>
      <c r="C6" s="283" t="s">
        <v>1</v>
      </c>
      <c r="D6" s="283" t="s">
        <v>7</v>
      </c>
      <c r="E6" s="283" t="s">
        <v>262</v>
      </c>
      <c r="F6" s="284" t="s">
        <v>263</v>
      </c>
      <c r="G6" s="284"/>
      <c r="H6" s="283" t="s">
        <v>18</v>
      </c>
      <c r="I6" s="283" t="s">
        <v>19</v>
      </c>
      <c r="J6" s="284" t="s">
        <v>264</v>
      </c>
      <c r="K6" s="283" t="s">
        <v>4</v>
      </c>
      <c r="L6" s="283" t="s">
        <v>5</v>
      </c>
      <c r="M6" s="283"/>
      <c r="N6" s="283" t="s">
        <v>8</v>
      </c>
      <c r="O6" s="283"/>
      <c r="P6" s="283"/>
      <c r="Q6" s="283"/>
      <c r="R6" s="283"/>
      <c r="S6" s="285" t="s">
        <v>259</v>
      </c>
      <c r="T6" s="285" t="s">
        <v>260</v>
      </c>
      <c r="U6" s="285" t="s">
        <v>261</v>
      </c>
    </row>
    <row r="7" spans="1:21" ht="25.5" customHeight="1" thickTop="1" thickBot="1" x14ac:dyDescent="0.3">
      <c r="A7" s="283"/>
      <c r="B7" s="283"/>
      <c r="C7" s="283"/>
      <c r="D7" s="283"/>
      <c r="E7" s="283"/>
      <c r="F7" s="284"/>
      <c r="G7" s="284"/>
      <c r="H7" s="283"/>
      <c r="I7" s="283"/>
      <c r="J7" s="284"/>
      <c r="K7" s="283"/>
      <c r="L7" s="283"/>
      <c r="M7" s="283"/>
      <c r="N7" s="283" t="s">
        <v>6</v>
      </c>
      <c r="O7" s="291" t="s">
        <v>254</v>
      </c>
      <c r="P7" s="285" t="s">
        <v>257</v>
      </c>
      <c r="Q7" s="285" t="s">
        <v>258</v>
      </c>
      <c r="R7" s="283" t="s">
        <v>265</v>
      </c>
      <c r="S7" s="286"/>
      <c r="T7" s="286"/>
      <c r="U7" s="286"/>
    </row>
    <row r="8" spans="1:21" ht="38.25" customHeight="1" thickTop="1" thickBot="1" x14ac:dyDescent="0.3">
      <c r="A8" s="283"/>
      <c r="B8" s="283"/>
      <c r="C8" s="283"/>
      <c r="D8" s="283"/>
      <c r="E8" s="283"/>
      <c r="F8" s="115" t="s">
        <v>2</v>
      </c>
      <c r="G8" s="115" t="s">
        <v>3</v>
      </c>
      <c r="H8" s="283"/>
      <c r="I8" s="283"/>
      <c r="J8" s="284"/>
      <c r="K8" s="283"/>
      <c r="L8" s="115" t="s">
        <v>256</v>
      </c>
      <c r="M8" s="115" t="s">
        <v>255</v>
      </c>
      <c r="N8" s="283"/>
      <c r="O8" s="292"/>
      <c r="P8" s="287"/>
      <c r="Q8" s="287"/>
      <c r="R8" s="283"/>
      <c r="S8" s="287"/>
      <c r="T8" s="287"/>
      <c r="U8" s="287"/>
    </row>
    <row r="9" spans="1:21" ht="16.5" thickTop="1" thickBot="1" x14ac:dyDescent="0.3">
      <c r="A9" s="74">
        <v>1</v>
      </c>
      <c r="B9" s="74">
        <v>2</v>
      </c>
      <c r="C9" s="74">
        <v>3</v>
      </c>
      <c r="D9" s="74">
        <v>4</v>
      </c>
      <c r="E9" s="74">
        <v>5</v>
      </c>
      <c r="F9" s="74">
        <v>6</v>
      </c>
      <c r="G9" s="74">
        <v>7</v>
      </c>
      <c r="H9" s="74">
        <v>8</v>
      </c>
      <c r="I9" s="74">
        <v>9</v>
      </c>
      <c r="J9" s="74">
        <v>10</v>
      </c>
      <c r="K9" s="74">
        <v>11</v>
      </c>
      <c r="L9" s="74">
        <v>12</v>
      </c>
      <c r="M9" s="74">
        <v>13</v>
      </c>
      <c r="N9" s="74">
        <v>14</v>
      </c>
      <c r="O9" s="74">
        <v>15</v>
      </c>
      <c r="P9" s="74">
        <v>16</v>
      </c>
      <c r="Q9" s="74">
        <v>17</v>
      </c>
      <c r="R9" s="74">
        <v>18</v>
      </c>
      <c r="S9" s="74">
        <v>19</v>
      </c>
      <c r="T9" s="74">
        <v>20</v>
      </c>
      <c r="U9" s="74">
        <v>21</v>
      </c>
    </row>
    <row r="10" spans="1:21" ht="15.75" thickTop="1" x14ac:dyDescent="0.25">
      <c r="A10" s="59">
        <v>1</v>
      </c>
      <c r="B10" s="60" t="s">
        <v>92</v>
      </c>
      <c r="C10" s="61" t="s">
        <v>154</v>
      </c>
      <c r="D10" s="34">
        <v>1</v>
      </c>
      <c r="E10" s="14">
        <v>68198180.109999999</v>
      </c>
      <c r="F10" s="34">
        <v>8</v>
      </c>
      <c r="G10" s="14"/>
      <c r="H10" s="62"/>
      <c r="I10" s="62"/>
      <c r="J10" s="14">
        <v>68198180.109999999</v>
      </c>
      <c r="K10" s="34">
        <v>4</v>
      </c>
      <c r="L10" s="63">
        <v>0.02</v>
      </c>
      <c r="M10" s="63">
        <v>0.25</v>
      </c>
      <c r="N10" s="14">
        <v>0</v>
      </c>
      <c r="O10" s="14">
        <v>5683181.6799999997</v>
      </c>
      <c r="P10" s="14">
        <f>+Q10/12</f>
        <v>113663.63351666667</v>
      </c>
      <c r="Q10" s="14">
        <f>+J10*L10</f>
        <v>1363963.6022000001</v>
      </c>
      <c r="R10" s="14">
        <f>+N10+O10+Q10</f>
        <v>7047145.2821999993</v>
      </c>
      <c r="S10" s="55">
        <f>+J10-O10-Q10</f>
        <v>61151034.827799998</v>
      </c>
      <c r="T10" s="76">
        <f>+P10*9</f>
        <v>1022972.7016500001</v>
      </c>
      <c r="U10" s="77">
        <f>+J10-N10-O10-T10</f>
        <v>61492025.728349999</v>
      </c>
    </row>
    <row r="11" spans="1:21" x14ac:dyDescent="0.25">
      <c r="A11" s="64"/>
      <c r="B11" s="65"/>
      <c r="D11" s="3"/>
      <c r="E11" s="15"/>
      <c r="G11" s="15"/>
      <c r="J11" s="15"/>
      <c r="L11" s="66"/>
      <c r="M11" s="66"/>
      <c r="N11" s="15"/>
      <c r="O11" s="15"/>
      <c r="P11" s="15"/>
      <c r="Q11" s="15"/>
      <c r="R11" s="15"/>
      <c r="S11" s="57"/>
      <c r="T11" s="78"/>
      <c r="U11" s="75"/>
    </row>
    <row r="12" spans="1:21" x14ac:dyDescent="0.25">
      <c r="A12" s="64"/>
      <c r="B12" s="65"/>
      <c r="E12" s="15"/>
      <c r="J12" s="15"/>
      <c r="L12" s="66"/>
      <c r="M12" s="66"/>
      <c r="N12" s="15"/>
      <c r="O12" s="15"/>
      <c r="P12" s="15"/>
      <c r="Q12" s="15"/>
      <c r="R12" s="15"/>
      <c r="S12" s="57"/>
      <c r="T12" s="78"/>
      <c r="U12" s="75"/>
    </row>
    <row r="13" spans="1:21" ht="15.75" thickBot="1" x14ac:dyDescent="0.3">
      <c r="A13" s="64"/>
      <c r="B13" s="65"/>
      <c r="E13" s="15"/>
      <c r="G13" s="15"/>
      <c r="J13" s="15"/>
      <c r="L13" s="66"/>
      <c r="M13" s="66"/>
      <c r="N13" s="15"/>
      <c r="O13" s="15"/>
      <c r="P13" s="15"/>
      <c r="Q13" s="15"/>
      <c r="R13" s="15"/>
      <c r="S13" s="57"/>
      <c r="T13" s="92"/>
      <c r="U13" s="88"/>
    </row>
    <row r="14" spans="1:21" ht="16.5" thickTop="1" thickBot="1" x14ac:dyDescent="0.3">
      <c r="A14" s="298" t="s">
        <v>12</v>
      </c>
      <c r="B14" s="298"/>
      <c r="C14" s="298"/>
      <c r="D14" s="298"/>
      <c r="E14" s="117">
        <f>SUM(E10:E13)</f>
        <v>68198180.109999999</v>
      </c>
      <c r="F14" s="117"/>
      <c r="G14" s="117">
        <f>SUM(G10:G13)</f>
        <v>0</v>
      </c>
      <c r="H14" s="117">
        <f t="shared" ref="H14:U14" si="0">SUM(H10:H13)</f>
        <v>0</v>
      </c>
      <c r="I14" s="117">
        <f t="shared" si="0"/>
        <v>0</v>
      </c>
      <c r="J14" s="124">
        <f t="shared" si="0"/>
        <v>68198180.109999999</v>
      </c>
      <c r="K14" s="118"/>
      <c r="L14" s="118"/>
      <c r="M14" s="118"/>
      <c r="N14" s="117">
        <f t="shared" si="0"/>
        <v>0</v>
      </c>
      <c r="O14" s="117">
        <f t="shared" si="0"/>
        <v>5683181.6799999997</v>
      </c>
      <c r="P14" s="117">
        <f t="shared" si="0"/>
        <v>113663.63351666667</v>
      </c>
      <c r="Q14" s="124">
        <f t="shared" si="0"/>
        <v>1363963.6022000001</v>
      </c>
      <c r="R14" s="124">
        <f t="shared" si="0"/>
        <v>7047145.2821999993</v>
      </c>
      <c r="S14" s="124">
        <f t="shared" si="0"/>
        <v>61151034.827799998</v>
      </c>
      <c r="T14" s="117">
        <f t="shared" si="0"/>
        <v>1022972.7016500001</v>
      </c>
      <c r="U14" s="117">
        <f t="shared" si="0"/>
        <v>61492025.728349999</v>
      </c>
    </row>
    <row r="15" spans="1:21" ht="16.5" thickTop="1" thickBot="1" x14ac:dyDescent="0.3">
      <c r="A15" s="296" t="s">
        <v>356</v>
      </c>
      <c r="B15" s="297"/>
      <c r="C15" s="297"/>
      <c r="D15" s="297"/>
      <c r="E15" s="121">
        <f>+E14</f>
        <v>68198180.109999999</v>
      </c>
      <c r="F15" s="121"/>
      <c r="G15" s="121"/>
      <c r="H15" s="121"/>
      <c r="I15" s="121">
        <f>SUM(I14)</f>
        <v>0</v>
      </c>
      <c r="J15" s="121">
        <f>+E15+G15+I15</f>
        <v>68198180.109999999</v>
      </c>
      <c r="K15" s="119"/>
      <c r="L15" s="119"/>
      <c r="M15" s="119"/>
      <c r="N15" s="121">
        <f>N14</f>
        <v>0</v>
      </c>
      <c r="O15" s="121">
        <f>O14</f>
        <v>5683181.6799999997</v>
      </c>
      <c r="P15" s="121"/>
      <c r="Q15" s="121"/>
      <c r="R15" s="121">
        <f>N15+O15+Q14</f>
        <v>7047145.2821999993</v>
      </c>
      <c r="S15" s="120">
        <f>+J15-R15</f>
        <v>61151034.827799998</v>
      </c>
    </row>
    <row r="16" spans="1:21" ht="16.5" thickTop="1" thickBot="1" x14ac:dyDescent="0.3">
      <c r="A16" s="293" t="s">
        <v>291</v>
      </c>
      <c r="B16" s="294"/>
      <c r="C16" s="294"/>
      <c r="D16" s="295"/>
      <c r="E16" s="116">
        <f>+E14-E15</f>
        <v>0</v>
      </c>
      <c r="F16" s="122"/>
      <c r="G16" s="123">
        <f>+G14-G15</f>
        <v>0</v>
      </c>
      <c r="H16" s="122"/>
      <c r="I16" s="122"/>
      <c r="J16" s="116">
        <f>+J14-J15</f>
        <v>0</v>
      </c>
      <c r="K16" s="288"/>
      <c r="L16" s="289"/>
      <c r="M16" s="290"/>
      <c r="N16" s="116">
        <f>+N14-N15</f>
        <v>0</v>
      </c>
      <c r="O16" s="116">
        <f>+O14-O15</f>
        <v>0</v>
      </c>
      <c r="P16" s="122"/>
      <c r="Q16" s="122"/>
      <c r="R16" s="116">
        <f>+R14-R15</f>
        <v>0</v>
      </c>
      <c r="S16" s="116">
        <f>+S14-S15</f>
        <v>0</v>
      </c>
    </row>
    <row r="17" ht="15.75" thickTop="1" x14ac:dyDescent="0.25"/>
  </sheetData>
  <mergeCells count="26">
    <mergeCell ref="A14:D14"/>
    <mergeCell ref="A15:D15"/>
    <mergeCell ref="A16:D16"/>
    <mergeCell ref="K16:M16"/>
    <mergeCell ref="T6:T8"/>
    <mergeCell ref="U6:U8"/>
    <mergeCell ref="O7:O8"/>
    <mergeCell ref="P7:P8"/>
    <mergeCell ref="Q7:Q8"/>
    <mergeCell ref="I6:I8"/>
    <mergeCell ref="J6:J8"/>
    <mergeCell ref="K6:K8"/>
    <mergeCell ref="L6:M7"/>
    <mergeCell ref="N6:R6"/>
    <mergeCell ref="N7:N8"/>
    <mergeCell ref="R7:R8"/>
    <mergeCell ref="A3:S3"/>
    <mergeCell ref="A4:S4"/>
    <mergeCell ref="A6:A8"/>
    <mergeCell ref="B6:B8"/>
    <mergeCell ref="C6:C8"/>
    <mergeCell ref="D6:D8"/>
    <mergeCell ref="E6:E8"/>
    <mergeCell ref="F6:G7"/>
    <mergeCell ref="H6:H8"/>
    <mergeCell ref="S6:S8"/>
  </mergeCells>
  <pageMargins left="0.25" right="0.25" top="0.75" bottom="0.75" header="0.3" footer="0.3"/>
  <pageSetup paperSize="9" scale="61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21</vt:i4>
      </vt:variant>
      <vt:variant>
        <vt:lpstr>Named Ranges</vt:lpstr>
      </vt:variant>
      <vt:variant>
        <vt:i4>4</vt:i4>
      </vt:variant>
    </vt:vector>
  </HeadingPairs>
  <TitlesOfParts>
    <vt:vector size="25" baseType="lpstr">
      <vt:lpstr>CEDAR Dugotrajna imovina</vt:lpstr>
      <vt:lpstr>Temeljnica</vt:lpstr>
      <vt:lpstr>CEDAR 012=5 019=3</vt:lpstr>
      <vt:lpstr>CEDAR 020= 1,2..5  </vt:lpstr>
      <vt:lpstr>CEDAR 023=DO 023 </vt:lpstr>
      <vt:lpstr>CEDAR 030 </vt:lpstr>
      <vt:lpstr>CEDAR 030,111</vt:lpstr>
      <vt:lpstr>CEDAR 030,111 - prebačeno</vt:lpstr>
      <vt:lpstr>CEDAR  031,2 </vt:lpstr>
      <vt:lpstr>CEDAR 032,07</vt:lpstr>
      <vt:lpstr>CEDAR 032,01</vt:lpstr>
      <vt:lpstr>CEDAR 032</vt:lpstr>
      <vt:lpstr>CEDAR 034</vt:lpstr>
      <vt:lpstr>CEDAR 040</vt:lpstr>
      <vt:lpstr>CEDAR  050</vt:lpstr>
      <vt:lpstr>CEDAR 053=0 - 059=0,2 </vt:lpstr>
      <vt:lpstr>CEDAR 060 </vt:lpstr>
      <vt:lpstr>CEDAR 064</vt:lpstr>
      <vt:lpstr>VEE 030=0,9</vt:lpstr>
      <vt:lpstr>VEE 0312=1</vt:lpstr>
      <vt:lpstr>VEE 031= 0,91</vt:lpstr>
      <vt:lpstr>'CEDAR 020= 1,2..5  '!Print_Area</vt:lpstr>
      <vt:lpstr>'CEDAR 023=DO 023 '!Print_Area</vt:lpstr>
      <vt:lpstr>'CEDAR 030 '!Print_Area</vt:lpstr>
      <vt:lpstr>'VEE 030=0,9'!Print_Area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2022-03-23T18:04:39Z</dcterms:modified>
</cp:coreProperties>
</file>